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0" yWindow="0" windowWidth="20730" windowHeight="9690" tabRatio="736" firstSheet="5" activeTab="8"/>
  </bookViews>
  <sheets>
    <sheet name="свод штат" sheetId="19" state="hidden" r:id="rId1"/>
    <sheet name="ШТАТ АУП 2022" sheetId="2" state="hidden" r:id="rId2"/>
    <sheet name="тариф мугалим" sheetId="18" state="hidden" r:id="rId3"/>
    <sheet name="АДМ 1 сен" sheetId="21" r:id="rId4"/>
    <sheet name="МҰҒАЛІМ 1 сен" sheetId="23" r:id="rId5"/>
    <sheet name="АДМ 2 окт (қайта)" sheetId="24" r:id="rId6"/>
    <sheet name="МҰҒАЛІМ 5 янв" sheetId="25" r:id="rId7"/>
    <sheet name="АДМ 5 янв" sheetId="26" r:id="rId8"/>
    <sheet name="АДМ 15 фев (қайта)" sheetId="28" r:id="rId9"/>
    <sheet name="МҰҒАЛІМ 1 март (қайта)" sheetId="29" r:id="rId10"/>
    <sheet name="АДМ (қарауыл)14март(қайта)" sheetId="30" r:id="rId11"/>
  </sheets>
  <externalReferences>
    <externalReference r:id="rId12"/>
  </externalReferences>
  <definedNames>
    <definedName name="_xlnm._FilterDatabase" localSheetId="10" hidden="1">'АДМ (қарауыл)14март(қайта)'!$A$12:$AB$13</definedName>
    <definedName name="_xlnm._FilterDatabase" localSheetId="3" hidden="1">'АДМ 1 сен'!$A$15:$AB$58</definedName>
    <definedName name="_xlnm._FilterDatabase" localSheetId="8" hidden="1">'АДМ 15 фев (қайта)'!$A$12:$AB$54</definedName>
    <definedName name="_xlnm._FilterDatabase" localSheetId="5" hidden="1">'АДМ 2 окт (қайта)'!$A$15:$AB$58</definedName>
    <definedName name="_xlnm._FilterDatabase" localSheetId="7" hidden="1">'АДМ 5 янв'!$A$12:$AB$54</definedName>
    <definedName name="_xlnm._FilterDatabase" localSheetId="9" hidden="1">'МҰҒАЛІМ 1 март (қайта)'!$A$12:$AP$14</definedName>
    <definedName name="_xlnm._FilterDatabase" localSheetId="4" hidden="1">'МҰҒАЛІМ 1 сен'!$A$21:$AP$99</definedName>
    <definedName name="_xlnm._FilterDatabase" localSheetId="6" hidden="1">'МҰҒАЛІМ 5 янв'!$A$18:$AP$93</definedName>
    <definedName name="_xlnm._FilterDatabase" localSheetId="2" hidden="1">'тариф мугалим'!$A$20:$AO$89</definedName>
    <definedName name="_xlnm._FilterDatabase" localSheetId="1" hidden="1">'ШТАТ АУП 2022'!$A$12:$AD$132</definedName>
    <definedName name="_xlnm.Print_Titles" localSheetId="10">'АДМ (қарауыл)14март(қайта)'!$11:$13</definedName>
    <definedName name="_xlnm.Print_Titles" localSheetId="3">'АДМ 1 сен'!$14:$17</definedName>
    <definedName name="_xlnm.Print_Titles" localSheetId="8">'АДМ 15 фев (қайта)'!$11:$13</definedName>
    <definedName name="_xlnm.Print_Titles" localSheetId="5">'АДМ 2 окт (қайта)'!$14:$17</definedName>
    <definedName name="_xlnm.Print_Titles" localSheetId="7">'АДМ 5 янв'!$11:$13</definedName>
    <definedName name="_xlnm.Print_Titles" localSheetId="9">'МҰҒАЛІМ 1 март (қайта)'!$A:$B,'МҰҒАЛІМ 1 март (қайта)'!$9:$12</definedName>
    <definedName name="_xlnm.Print_Titles" localSheetId="4">'МҰҒАЛІМ 1 сен'!$18:$21</definedName>
    <definedName name="_xlnm.Print_Titles" localSheetId="6">'МҰҒАЛІМ 5 янв'!$A:$B,'МҰҒАЛІМ 5 янв'!$15:$18</definedName>
    <definedName name="_xlnm.Print_Titles" localSheetId="0">'свод штат'!$10:$11</definedName>
    <definedName name="_xlnm.Print_Titles" localSheetId="2">'тариф мугалим'!$19:$20</definedName>
    <definedName name="_xlnm.Print_Titles" localSheetId="1">'ШТАТ АУП 2022'!$11:$12</definedName>
    <definedName name="_xlnm.Print_Area" localSheetId="10">'АДМ (қарауыл)14март(қайта)'!$A$1:$Z$22</definedName>
    <definedName name="_xlnm.Print_Area" localSheetId="3">'АДМ 1 сен'!$A$1:$Z$68</definedName>
    <definedName name="_xlnm.Print_Area" localSheetId="8">'АДМ 15 фев (қайта)'!$A$1:$Z$66</definedName>
    <definedName name="_xlnm.Print_Area" localSheetId="5">'АДМ 2 окт (қайта)'!$A$1:$Z$65</definedName>
    <definedName name="_xlnm.Print_Area" localSheetId="7">'АДМ 5 янв'!$A$1:$Z$66</definedName>
    <definedName name="_xlnm.Print_Area" localSheetId="9">'МҰҒАЛІМ 1 март (қайта)'!$A$1:$AN$21</definedName>
    <definedName name="_xlnm.Print_Area" localSheetId="4">'МҰҒАЛІМ 1 сен'!$A$1:$AN$105</definedName>
    <definedName name="_xlnm.Print_Area" localSheetId="6">'МҰҒАЛІМ 5 янв'!$A$1:$AN$100</definedName>
    <definedName name="_xlnm.Print_Area" localSheetId="2">'тариф мугалим'!$A$1:$AM$95</definedName>
    <definedName name="_xlnm.Print_Area" localSheetId="1">'ШТАТ АУП 2022'!$A$1:$AB$135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0"/>
  <c r="N16" s="1"/>
  <c r="K15"/>
  <c r="N15" s="1"/>
  <c r="K14"/>
  <c r="N14" s="1"/>
  <c r="W13"/>
  <c r="T13"/>
  <c r="S13"/>
  <c r="R13"/>
  <c r="Q13"/>
  <c r="P13"/>
  <c r="O13"/>
  <c r="L13"/>
  <c r="E13"/>
  <c r="AG13" i="29"/>
  <c r="AB13"/>
  <c r="Z13"/>
  <c r="X13"/>
  <c r="V13"/>
  <c r="Q13"/>
  <c r="O13"/>
  <c r="M13"/>
  <c r="K13"/>
  <c r="H13"/>
  <c r="X12"/>
  <c r="AL12"/>
  <c r="AH12"/>
  <c r="AF12"/>
  <c r="AD12"/>
  <c r="AC12"/>
  <c r="AA12"/>
  <c r="Y12"/>
  <c r="W12"/>
  <c r="U12"/>
  <c r="P12"/>
  <c r="N12"/>
  <c r="L12"/>
  <c r="K58" i="28"/>
  <c r="N58" s="1"/>
  <c r="N57"/>
  <c r="K57"/>
  <c r="Y57" s="1"/>
  <c r="Z57" s="1"/>
  <c r="N56"/>
  <c r="K56"/>
  <c r="Y56" s="1"/>
  <c r="Z56" s="1"/>
  <c r="N55"/>
  <c r="K55"/>
  <c r="Y55" s="1"/>
  <c r="Z55" s="1"/>
  <c r="N54"/>
  <c r="M54"/>
  <c r="K54"/>
  <c r="Y54" s="1"/>
  <c r="Z54" s="1"/>
  <c r="Y53"/>
  <c r="Z53" s="1"/>
  <c r="N53"/>
  <c r="K53"/>
  <c r="Y52"/>
  <c r="Z52" s="1"/>
  <c r="N52"/>
  <c r="K52"/>
  <c r="Y51"/>
  <c r="Z51" s="1"/>
  <c r="N51"/>
  <c r="K51"/>
  <c r="Y50"/>
  <c r="Z50" s="1"/>
  <c r="N50"/>
  <c r="K50"/>
  <c r="Y49"/>
  <c r="Z49" s="1"/>
  <c r="N49"/>
  <c r="K49"/>
  <c r="Y48"/>
  <c r="Z48" s="1"/>
  <c r="N48"/>
  <c r="K48"/>
  <c r="Y47"/>
  <c r="Z47" s="1"/>
  <c r="N47"/>
  <c r="K47"/>
  <c r="Y46"/>
  <c r="Z46" s="1"/>
  <c r="N46"/>
  <c r="K46"/>
  <c r="Y45"/>
  <c r="Z45" s="1"/>
  <c r="N45"/>
  <c r="K45"/>
  <c r="Y44"/>
  <c r="Z44" s="1"/>
  <c r="N44"/>
  <c r="K44"/>
  <c r="Y43"/>
  <c r="Z43" s="1"/>
  <c r="N43"/>
  <c r="K43"/>
  <c r="Y42"/>
  <c r="Z42" s="1"/>
  <c r="N42"/>
  <c r="K42"/>
  <c r="Y41"/>
  <c r="Z41" s="1"/>
  <c r="N41"/>
  <c r="K41"/>
  <c r="Y40"/>
  <c r="Z40" s="1"/>
  <c r="N40"/>
  <c r="K40"/>
  <c r="Y39"/>
  <c r="Z39" s="1"/>
  <c r="N39"/>
  <c r="K39"/>
  <c r="Y38"/>
  <c r="Z38" s="1"/>
  <c r="N38"/>
  <c r="K38"/>
  <c r="Y37"/>
  <c r="Z37" s="1"/>
  <c r="N37"/>
  <c r="K37"/>
  <c r="Y36"/>
  <c r="Z36" s="1"/>
  <c r="N36"/>
  <c r="K36"/>
  <c r="Y35"/>
  <c r="Z35" s="1"/>
  <c r="N35"/>
  <c r="K35"/>
  <c r="N34"/>
  <c r="K34"/>
  <c r="Y34" s="1"/>
  <c r="Z34" s="1"/>
  <c r="K33"/>
  <c r="N33" s="1"/>
  <c r="Y32"/>
  <c r="Z32" s="1"/>
  <c r="N32"/>
  <c r="M32"/>
  <c r="K32"/>
  <c r="K31"/>
  <c r="M31" s="1"/>
  <c r="U13"/>
  <c r="N30"/>
  <c r="M30"/>
  <c r="K30"/>
  <c r="K29"/>
  <c r="M29" s="1"/>
  <c r="M28"/>
  <c r="K28"/>
  <c r="N28" s="1"/>
  <c r="N27"/>
  <c r="M27"/>
  <c r="K27"/>
  <c r="Y27" s="1"/>
  <c r="Z27" s="1"/>
  <c r="Y26"/>
  <c r="Z26" s="1"/>
  <c r="N26"/>
  <c r="M26"/>
  <c r="K26"/>
  <c r="K25"/>
  <c r="M25" s="1"/>
  <c r="M24"/>
  <c r="K24"/>
  <c r="N24" s="1"/>
  <c r="N23"/>
  <c r="M23"/>
  <c r="K23"/>
  <c r="Y23" s="1"/>
  <c r="Z23" s="1"/>
  <c r="K22"/>
  <c r="M22" s="1"/>
  <c r="K21"/>
  <c r="M21" s="1"/>
  <c r="K20"/>
  <c r="N20" s="1"/>
  <c r="K19"/>
  <c r="N19" s="1"/>
  <c r="M18"/>
  <c r="K18"/>
  <c r="N18" s="1"/>
  <c r="K17"/>
  <c r="M16"/>
  <c r="K16"/>
  <c r="N16" s="1"/>
  <c r="N15"/>
  <c r="M15"/>
  <c r="K15"/>
  <c r="Y15" s="1"/>
  <c r="Z15" s="1"/>
  <c r="K14"/>
  <c r="M14" s="1"/>
  <c r="W13"/>
  <c r="T13"/>
  <c r="S13"/>
  <c r="R13"/>
  <c r="Q13"/>
  <c r="P13"/>
  <c r="O13"/>
  <c r="L13"/>
  <c r="E13"/>
  <c r="L13" i="26"/>
  <c r="O13"/>
  <c r="P13"/>
  <c r="Q13"/>
  <c r="R13"/>
  <c r="S13"/>
  <c r="T13"/>
  <c r="W13"/>
  <c r="V13" i="30" l="1"/>
  <c r="Y14"/>
  <c r="Z14" s="1"/>
  <c r="Y15"/>
  <c r="Z15" s="1"/>
  <c r="Y16"/>
  <c r="Z16" s="1"/>
  <c r="K13"/>
  <c r="AB12" i="29"/>
  <c r="O12"/>
  <c r="K12"/>
  <c r="AG12"/>
  <c r="Z12"/>
  <c r="Q12"/>
  <c r="V12"/>
  <c r="M12"/>
  <c r="R13"/>
  <c r="S13" s="1"/>
  <c r="Y33" i="28"/>
  <c r="Z33" s="1"/>
  <c r="K13"/>
  <c r="N31"/>
  <c r="Y30"/>
  <c r="Z30" s="1"/>
  <c r="N22"/>
  <c r="Y22" s="1"/>
  <c r="Z22" s="1"/>
  <c r="X14"/>
  <c r="Y29"/>
  <c r="Z29" s="1"/>
  <c r="N14"/>
  <c r="X16"/>
  <c r="Y16" s="1"/>
  <c r="Z16" s="1"/>
  <c r="M17"/>
  <c r="Y18"/>
  <c r="Z18" s="1"/>
  <c r="Y19"/>
  <c r="Z19" s="1"/>
  <c r="Y20"/>
  <c r="Z20" s="1"/>
  <c r="N21"/>
  <c r="Y21" s="1"/>
  <c r="Z21" s="1"/>
  <c r="Y24"/>
  <c r="Z24" s="1"/>
  <c r="N25"/>
  <c r="Y28"/>
  <c r="Z28" s="1"/>
  <c r="N29"/>
  <c r="V13"/>
  <c r="Y14"/>
  <c r="Y25"/>
  <c r="Z25" s="1"/>
  <c r="Y58"/>
  <c r="Z58" s="1"/>
  <c r="E13" i="26"/>
  <c r="K56"/>
  <c r="N56" s="1"/>
  <c r="K57"/>
  <c r="N57" s="1"/>
  <c r="K58"/>
  <c r="N58" s="1"/>
  <c r="K55"/>
  <c r="N55" s="1"/>
  <c r="K54"/>
  <c r="M54" s="1"/>
  <c r="K53"/>
  <c r="N53" s="1"/>
  <c r="K52"/>
  <c r="N52" s="1"/>
  <c r="K51"/>
  <c r="N51" s="1"/>
  <c r="K50"/>
  <c r="N50" s="1"/>
  <c r="K49"/>
  <c r="N49" s="1"/>
  <c r="K48"/>
  <c r="N48" s="1"/>
  <c r="K47"/>
  <c r="N47" s="1"/>
  <c r="K46"/>
  <c r="N46" s="1"/>
  <c r="K45"/>
  <c r="N45" s="1"/>
  <c r="K44"/>
  <c r="N44" s="1"/>
  <c r="K43"/>
  <c r="N43" s="1"/>
  <c r="K42"/>
  <c r="N42" s="1"/>
  <c r="K41"/>
  <c r="N41" s="1"/>
  <c r="K40"/>
  <c r="N40" s="1"/>
  <c r="K39"/>
  <c r="N39" s="1"/>
  <c r="K38"/>
  <c r="N38" s="1"/>
  <c r="K37"/>
  <c r="N37" s="1"/>
  <c r="K36"/>
  <c r="N36" s="1"/>
  <c r="K35"/>
  <c r="N35" s="1"/>
  <c r="K34"/>
  <c r="N34" s="1"/>
  <c r="K33"/>
  <c r="N33" s="1"/>
  <c r="K32"/>
  <c r="K31"/>
  <c r="K30"/>
  <c r="K29"/>
  <c r="M29" s="1"/>
  <c r="K28"/>
  <c r="K27"/>
  <c r="M27" s="1"/>
  <c r="K26"/>
  <c r="K25"/>
  <c r="M25" s="1"/>
  <c r="N25" s="1"/>
  <c r="K24"/>
  <c r="M24" s="1"/>
  <c r="K23"/>
  <c r="M23" s="1"/>
  <c r="K22"/>
  <c r="M22" s="1"/>
  <c r="K21"/>
  <c r="M21" s="1"/>
  <c r="K20"/>
  <c r="N20" s="1"/>
  <c r="Y20" s="1"/>
  <c r="Z20" s="1"/>
  <c r="K19"/>
  <c r="N19" s="1"/>
  <c r="Y19" s="1"/>
  <c r="Z19" s="1"/>
  <c r="K18"/>
  <c r="M18" s="1"/>
  <c r="K17"/>
  <c r="M17" s="1"/>
  <c r="K16"/>
  <c r="K15"/>
  <c r="M15" s="1"/>
  <c r="K14"/>
  <c r="AL18" i="25"/>
  <c r="AH18"/>
  <c r="AF18"/>
  <c r="AD18"/>
  <c r="AC18"/>
  <c r="AA18"/>
  <c r="Y18"/>
  <c r="W18"/>
  <c r="U18"/>
  <c r="P18"/>
  <c r="N18"/>
  <c r="L18"/>
  <c r="K57"/>
  <c r="Q57"/>
  <c r="O57"/>
  <c r="M57"/>
  <c r="H57"/>
  <c r="M13" i="30" l="1"/>
  <c r="N13"/>
  <c r="AK13" i="29"/>
  <c r="T13"/>
  <c r="AE13"/>
  <c r="R12"/>
  <c r="S12"/>
  <c r="Z14" i="28"/>
  <c r="N17"/>
  <c r="X17"/>
  <c r="X13" s="1"/>
  <c r="Y31"/>
  <c r="Z31" s="1"/>
  <c r="M13"/>
  <c r="M30" i="26"/>
  <c r="N30" s="1"/>
  <c r="K13"/>
  <c r="Y58"/>
  <c r="Z58" s="1"/>
  <c r="Y57"/>
  <c r="Z57" s="1"/>
  <c r="Y56"/>
  <c r="Z56" s="1"/>
  <c r="N14"/>
  <c r="M14"/>
  <c r="N24"/>
  <c r="Y24" s="1"/>
  <c r="Z24" s="1"/>
  <c r="M28"/>
  <c r="N28" s="1"/>
  <c r="Y28" s="1"/>
  <c r="Z28" s="1"/>
  <c r="N17"/>
  <c r="N22"/>
  <c r="Y55"/>
  <c r="Z55" s="1"/>
  <c r="X14"/>
  <c r="N21"/>
  <c r="Y21" s="1"/>
  <c r="Z21" s="1"/>
  <c r="Y25"/>
  <c r="Z25" s="1"/>
  <c r="M26"/>
  <c r="N29"/>
  <c r="Y29" s="1"/>
  <c r="Z29" s="1"/>
  <c r="M31"/>
  <c r="V31" s="1"/>
  <c r="M32"/>
  <c r="N32" s="1"/>
  <c r="Y32" s="1"/>
  <c r="Z32" s="1"/>
  <c r="N18"/>
  <c r="Y18" s="1"/>
  <c r="Z18" s="1"/>
  <c r="N15"/>
  <c r="Y15" s="1"/>
  <c r="Z15" s="1"/>
  <c r="M16"/>
  <c r="X17"/>
  <c r="Y22"/>
  <c r="Z22" s="1"/>
  <c r="N23"/>
  <c r="Y23" s="1"/>
  <c r="Z23" s="1"/>
  <c r="N27"/>
  <c r="Y27" s="1"/>
  <c r="Z27" s="1"/>
  <c r="Y33"/>
  <c r="Z33" s="1"/>
  <c r="Y34"/>
  <c r="Z34" s="1"/>
  <c r="Y35"/>
  <c r="Z35" s="1"/>
  <c r="Y36"/>
  <c r="Z36" s="1"/>
  <c r="Y37"/>
  <c r="Z37" s="1"/>
  <c r="Y38"/>
  <c r="Z38" s="1"/>
  <c r="Y39"/>
  <c r="Z39" s="1"/>
  <c r="Y40"/>
  <c r="Z40" s="1"/>
  <c r="Y41"/>
  <c r="Z41" s="1"/>
  <c r="Y42"/>
  <c r="Z42" s="1"/>
  <c r="Y43"/>
  <c r="Z43" s="1"/>
  <c r="Y44"/>
  <c r="Z44" s="1"/>
  <c r="Y45"/>
  <c r="Z45" s="1"/>
  <c r="Y46"/>
  <c r="Z46" s="1"/>
  <c r="Y47"/>
  <c r="Z47" s="1"/>
  <c r="Y48"/>
  <c r="Z48" s="1"/>
  <c r="Y49"/>
  <c r="Z49" s="1"/>
  <c r="Y50"/>
  <c r="Z50" s="1"/>
  <c r="Y51"/>
  <c r="Z51" s="1"/>
  <c r="Y52"/>
  <c r="Z52" s="1"/>
  <c r="Y53"/>
  <c r="Z53" s="1"/>
  <c r="N54"/>
  <c r="Y54" s="1"/>
  <c r="Z54" s="1"/>
  <c r="R57" i="25"/>
  <c r="S57" s="1"/>
  <c r="X13" i="30" l="1"/>
  <c r="U13"/>
  <c r="AI12" i="29"/>
  <c r="AM13"/>
  <c r="AN13" s="1"/>
  <c r="AK12"/>
  <c r="AJ12"/>
  <c r="AE12"/>
  <c r="T12"/>
  <c r="Y17" i="28"/>
  <c r="N13"/>
  <c r="U30" i="26"/>
  <c r="U13" s="1"/>
  <c r="M13"/>
  <c r="Y14"/>
  <c r="N26"/>
  <c r="Y26" s="1"/>
  <c r="Z26" s="1"/>
  <c r="Y30"/>
  <c r="Z30" s="1"/>
  <c r="Y17"/>
  <c r="Z17" s="1"/>
  <c r="N31"/>
  <c r="V13"/>
  <c r="Z14"/>
  <c r="N16"/>
  <c r="X16"/>
  <c r="X13" s="1"/>
  <c r="AE57" i="25"/>
  <c r="T57"/>
  <c r="Z13" i="30" l="1"/>
  <c r="Y13"/>
  <c r="AM12" i="29"/>
  <c r="AN12"/>
  <c r="Z17" i="28"/>
  <c r="Z13" s="1"/>
  <c r="Y13"/>
  <c r="N13" i="26"/>
  <c r="Y31"/>
  <c r="Z31" s="1"/>
  <c r="Y16"/>
  <c r="AM57" i="25"/>
  <c r="AN57" s="1"/>
  <c r="AG69"/>
  <c r="AB69"/>
  <c r="Z69"/>
  <c r="X69"/>
  <c r="V69"/>
  <c r="Q69"/>
  <c r="O69"/>
  <c r="M69"/>
  <c r="K69"/>
  <c r="H69"/>
  <c r="AG27"/>
  <c r="AB27"/>
  <c r="Z27"/>
  <c r="X27"/>
  <c r="V27"/>
  <c r="Q27"/>
  <c r="O27"/>
  <c r="M27"/>
  <c r="K27"/>
  <c r="H27"/>
  <c r="AG34"/>
  <c r="AB34"/>
  <c r="Z34"/>
  <c r="X34"/>
  <c r="V34"/>
  <c r="Q34"/>
  <c r="O34"/>
  <c r="M34"/>
  <c r="K34"/>
  <c r="H34"/>
  <c r="AG91"/>
  <c r="AB91"/>
  <c r="Z91"/>
  <c r="X91"/>
  <c r="V91"/>
  <c r="Q91"/>
  <c r="O91"/>
  <c r="M91"/>
  <c r="K91"/>
  <c r="H91"/>
  <c r="AG90"/>
  <c r="AB90"/>
  <c r="Z90"/>
  <c r="X90"/>
  <c r="V90"/>
  <c r="Q90"/>
  <c r="O90"/>
  <c r="M90"/>
  <c r="K90"/>
  <c r="H90"/>
  <c r="AG89"/>
  <c r="AB89"/>
  <c r="Z89"/>
  <c r="X89"/>
  <c r="V89"/>
  <c r="Q89"/>
  <c r="O89"/>
  <c r="M89"/>
  <c r="K89"/>
  <c r="H89"/>
  <c r="AG87"/>
  <c r="AB87"/>
  <c r="Z87"/>
  <c r="X87"/>
  <c r="V87"/>
  <c r="Q87"/>
  <c r="O87"/>
  <c r="M87"/>
  <c r="K87"/>
  <c r="H87"/>
  <c r="AG86"/>
  <c r="AB86"/>
  <c r="Z86"/>
  <c r="X86"/>
  <c r="V86"/>
  <c r="Q86"/>
  <c r="O86"/>
  <c r="M86"/>
  <c r="K86"/>
  <c r="H86"/>
  <c r="AG85"/>
  <c r="AB85"/>
  <c r="Z85"/>
  <c r="X85"/>
  <c r="V85"/>
  <c r="Q85"/>
  <c r="O85"/>
  <c r="M85"/>
  <c r="K85"/>
  <c r="H85"/>
  <c r="AG84"/>
  <c r="AB84"/>
  <c r="Z84"/>
  <c r="X84"/>
  <c r="V84"/>
  <c r="Q84"/>
  <c r="O84"/>
  <c r="M84"/>
  <c r="K84"/>
  <c r="H84"/>
  <c r="AG83"/>
  <c r="AB83"/>
  <c r="Z83"/>
  <c r="X83"/>
  <c r="V83"/>
  <c r="Q83"/>
  <c r="O83"/>
  <c r="M83"/>
  <c r="K83"/>
  <c r="H83"/>
  <c r="AG82"/>
  <c r="AB82"/>
  <c r="Z82"/>
  <c r="X82"/>
  <c r="V82"/>
  <c r="Q82"/>
  <c r="O82"/>
  <c r="M82"/>
  <c r="K82"/>
  <c r="H82"/>
  <c r="AG81"/>
  <c r="AB81"/>
  <c r="Z81"/>
  <c r="X81"/>
  <c r="V81"/>
  <c r="Q81"/>
  <c r="O81"/>
  <c r="M81"/>
  <c r="K81"/>
  <c r="H81"/>
  <c r="AG80"/>
  <c r="AB80"/>
  <c r="Z80"/>
  <c r="X80"/>
  <c r="V80"/>
  <c r="Q80"/>
  <c r="O80"/>
  <c r="M80"/>
  <c r="K80"/>
  <c r="H80"/>
  <c r="AG79"/>
  <c r="AB79"/>
  <c r="Z79"/>
  <c r="X79"/>
  <c r="V79"/>
  <c r="Q79"/>
  <c r="O79"/>
  <c r="M79"/>
  <c r="K79"/>
  <c r="H79"/>
  <c r="AG78"/>
  <c r="AB78"/>
  <c r="Z78"/>
  <c r="X78"/>
  <c r="V78"/>
  <c r="Q78"/>
  <c r="O78"/>
  <c r="M78"/>
  <c r="K78"/>
  <c r="H78"/>
  <c r="AG77"/>
  <c r="AB77"/>
  <c r="Z77"/>
  <c r="X77"/>
  <c r="V77"/>
  <c r="Q77"/>
  <c r="O77"/>
  <c r="M77"/>
  <c r="K77"/>
  <c r="H77"/>
  <c r="AG76"/>
  <c r="AB76"/>
  <c r="Z76"/>
  <c r="X76"/>
  <c r="V76"/>
  <c r="Q76"/>
  <c r="O76"/>
  <c r="M76"/>
  <c r="K76"/>
  <c r="H76"/>
  <c r="AG75"/>
  <c r="AB75"/>
  <c r="Z75"/>
  <c r="X75"/>
  <c r="V75"/>
  <c r="Q75"/>
  <c r="O75"/>
  <c r="M75"/>
  <c r="K75"/>
  <c r="H75"/>
  <c r="AG74"/>
  <c r="AB74"/>
  <c r="Z74"/>
  <c r="X74"/>
  <c r="V74"/>
  <c r="Q74"/>
  <c r="O74"/>
  <c r="M74"/>
  <c r="K74"/>
  <c r="H74"/>
  <c r="AG73"/>
  <c r="AB73"/>
  <c r="Z73"/>
  <c r="X73"/>
  <c r="V73"/>
  <c r="Q73"/>
  <c r="O73"/>
  <c r="M73"/>
  <c r="K73"/>
  <c r="H73"/>
  <c r="AG72"/>
  <c r="AB72"/>
  <c r="Z72"/>
  <c r="X72"/>
  <c r="V72"/>
  <c r="Q72"/>
  <c r="O72"/>
  <c r="M72"/>
  <c r="K72"/>
  <c r="H72"/>
  <c r="AG71"/>
  <c r="AB71"/>
  <c r="Z71"/>
  <c r="X71"/>
  <c r="V71"/>
  <c r="Q71"/>
  <c r="O71"/>
  <c r="M71"/>
  <c r="K71"/>
  <c r="H71"/>
  <c r="AG70"/>
  <c r="AB70"/>
  <c r="Z70"/>
  <c r="X70"/>
  <c r="V70"/>
  <c r="Q70"/>
  <c r="O70"/>
  <c r="M70"/>
  <c r="K70"/>
  <c r="H70"/>
  <c r="AG68"/>
  <c r="AB68"/>
  <c r="Z68"/>
  <c r="X68"/>
  <c r="V68"/>
  <c r="Q68"/>
  <c r="O68"/>
  <c r="M68"/>
  <c r="K68"/>
  <c r="H68"/>
  <c r="AG67"/>
  <c r="AB67"/>
  <c r="Z67"/>
  <c r="X67"/>
  <c r="V67"/>
  <c r="Q67"/>
  <c r="O67"/>
  <c r="M67"/>
  <c r="K67"/>
  <c r="H67"/>
  <c r="AG66"/>
  <c r="AB66"/>
  <c r="Z66"/>
  <c r="X66"/>
  <c r="V66"/>
  <c r="Q66"/>
  <c r="O66"/>
  <c r="M66"/>
  <c r="K66"/>
  <c r="H66"/>
  <c r="AG65"/>
  <c r="AB65"/>
  <c r="Z65"/>
  <c r="X65"/>
  <c r="V65"/>
  <c r="Q65"/>
  <c r="O65"/>
  <c r="M65"/>
  <c r="K65"/>
  <c r="H65"/>
  <c r="AG64"/>
  <c r="AB64"/>
  <c r="Z64"/>
  <c r="X64"/>
  <c r="V64"/>
  <c r="Q64"/>
  <c r="O64"/>
  <c r="M64"/>
  <c r="K64"/>
  <c r="H64"/>
  <c r="AG63"/>
  <c r="AB63"/>
  <c r="Z63"/>
  <c r="X63"/>
  <c r="V63"/>
  <c r="Q63"/>
  <c r="O63"/>
  <c r="M63"/>
  <c r="K63"/>
  <c r="H63"/>
  <c r="AG62"/>
  <c r="AB62"/>
  <c r="Z62"/>
  <c r="X62"/>
  <c r="V62"/>
  <c r="Q62"/>
  <c r="O62"/>
  <c r="M62"/>
  <c r="K62"/>
  <c r="H62"/>
  <c r="AG61"/>
  <c r="AB61"/>
  <c r="Z61"/>
  <c r="X61"/>
  <c r="V61"/>
  <c r="Q61"/>
  <c r="O61"/>
  <c r="M61"/>
  <c r="K61"/>
  <c r="H61"/>
  <c r="AG60"/>
  <c r="AB60"/>
  <c r="Z60"/>
  <c r="X60"/>
  <c r="V60"/>
  <c r="Q60"/>
  <c r="O60"/>
  <c r="M60"/>
  <c r="K60"/>
  <c r="H60"/>
  <c r="AG59"/>
  <c r="AB59"/>
  <c r="Z59"/>
  <c r="X59"/>
  <c r="V59"/>
  <c r="Q59"/>
  <c r="O59"/>
  <c r="M59"/>
  <c r="K59"/>
  <c r="H59"/>
  <c r="AG58"/>
  <c r="AB58"/>
  <c r="Z58"/>
  <c r="X58"/>
  <c r="V58"/>
  <c r="Q58"/>
  <c r="O58"/>
  <c r="M58"/>
  <c r="K58"/>
  <c r="H58"/>
  <c r="AG56"/>
  <c r="AB56"/>
  <c r="Z56"/>
  <c r="X56"/>
  <c r="V56"/>
  <c r="Q56"/>
  <c r="O56"/>
  <c r="M56"/>
  <c r="K56"/>
  <c r="H56"/>
  <c r="AG55"/>
  <c r="AB55"/>
  <c r="Z55"/>
  <c r="X55"/>
  <c r="V55"/>
  <c r="Q55"/>
  <c r="O55"/>
  <c r="M55"/>
  <c r="K55"/>
  <c r="H55"/>
  <c r="AG54"/>
  <c r="AB54"/>
  <c r="Z54"/>
  <c r="X54"/>
  <c r="V54"/>
  <c r="Q54"/>
  <c r="O54"/>
  <c r="M54"/>
  <c r="K54"/>
  <c r="H54"/>
  <c r="AG53"/>
  <c r="AB53"/>
  <c r="Z53"/>
  <c r="X53"/>
  <c r="V53"/>
  <c r="Q53"/>
  <c r="O53"/>
  <c r="M53"/>
  <c r="K53"/>
  <c r="H53"/>
  <c r="AG52"/>
  <c r="AB52"/>
  <c r="Z52"/>
  <c r="X52"/>
  <c r="V52"/>
  <c r="Q52"/>
  <c r="O52"/>
  <c r="M52"/>
  <c r="K52"/>
  <c r="H52"/>
  <c r="AG51"/>
  <c r="AB51"/>
  <c r="Z51"/>
  <c r="X51"/>
  <c r="V51"/>
  <c r="Q51"/>
  <c r="O51"/>
  <c r="M51"/>
  <c r="K51"/>
  <c r="H51"/>
  <c r="AG50"/>
  <c r="AB50"/>
  <c r="Z50"/>
  <c r="X50"/>
  <c r="V50"/>
  <c r="Q50"/>
  <c r="O50"/>
  <c r="M50"/>
  <c r="K50"/>
  <c r="H50"/>
  <c r="AG49"/>
  <c r="AB49"/>
  <c r="Z49"/>
  <c r="X49"/>
  <c r="V49"/>
  <c r="Q49"/>
  <c r="O49"/>
  <c r="M49"/>
  <c r="K49"/>
  <c r="H49"/>
  <c r="AG48"/>
  <c r="AB48"/>
  <c r="Z48"/>
  <c r="X48"/>
  <c r="V48"/>
  <c r="Q48"/>
  <c r="O48"/>
  <c r="M48"/>
  <c r="K48"/>
  <c r="H48"/>
  <c r="AG47"/>
  <c r="AB47"/>
  <c r="Z47"/>
  <c r="X47"/>
  <c r="V47"/>
  <c r="Q47"/>
  <c r="O47"/>
  <c r="M47"/>
  <c r="K47"/>
  <c r="H47"/>
  <c r="AG46"/>
  <c r="AB46"/>
  <c r="Z46"/>
  <c r="X46"/>
  <c r="V46"/>
  <c r="Q46"/>
  <c r="O46"/>
  <c r="M46"/>
  <c r="K46"/>
  <c r="H46"/>
  <c r="AG45"/>
  <c r="AB45"/>
  <c r="Z45"/>
  <c r="X45"/>
  <c r="V45"/>
  <c r="Q45"/>
  <c r="O45"/>
  <c r="M45"/>
  <c r="K45"/>
  <c r="H45"/>
  <c r="AG44"/>
  <c r="AB44"/>
  <c r="Z44"/>
  <c r="X44"/>
  <c r="V44"/>
  <c r="Q44"/>
  <c r="O44"/>
  <c r="M44"/>
  <c r="K44"/>
  <c r="H44"/>
  <c r="AG43"/>
  <c r="AB43"/>
  <c r="Z43"/>
  <c r="X43"/>
  <c r="V43"/>
  <c r="Q43"/>
  <c r="O43"/>
  <c r="M43"/>
  <c r="K43"/>
  <c r="H43"/>
  <c r="AG42"/>
  <c r="AB42"/>
  <c r="Z42"/>
  <c r="X42"/>
  <c r="V42"/>
  <c r="Q42"/>
  <c r="O42"/>
  <c r="M42"/>
  <c r="K42"/>
  <c r="H42"/>
  <c r="AG41"/>
  <c r="AB41"/>
  <c r="Z41"/>
  <c r="X41"/>
  <c r="V41"/>
  <c r="Q41"/>
  <c r="O41"/>
  <c r="M41"/>
  <c r="K41"/>
  <c r="H41"/>
  <c r="AG40"/>
  <c r="AB40"/>
  <c r="Z40"/>
  <c r="X40"/>
  <c r="V40"/>
  <c r="Q40"/>
  <c r="O40"/>
  <c r="M40"/>
  <c r="K40"/>
  <c r="H40"/>
  <c r="AG38"/>
  <c r="AB38"/>
  <c r="Z38"/>
  <c r="X38"/>
  <c r="V38"/>
  <c r="Q38"/>
  <c r="O38"/>
  <c r="M38"/>
  <c r="K38"/>
  <c r="H38"/>
  <c r="AG26"/>
  <c r="AB26"/>
  <c r="Z26"/>
  <c r="X26"/>
  <c r="V26"/>
  <c r="Q26"/>
  <c r="O26"/>
  <c r="M26"/>
  <c r="K26"/>
  <c r="H26"/>
  <c r="AG37"/>
  <c r="AB37"/>
  <c r="Z37"/>
  <c r="X37"/>
  <c r="V37"/>
  <c r="Q37"/>
  <c r="O37"/>
  <c r="M37"/>
  <c r="K37"/>
  <c r="H37"/>
  <c r="AG36"/>
  <c r="AB36"/>
  <c r="Z36"/>
  <c r="X36"/>
  <c r="V36"/>
  <c r="Q36"/>
  <c r="O36"/>
  <c r="M36"/>
  <c r="K36"/>
  <c r="H36"/>
  <c r="AG35"/>
  <c r="AB35"/>
  <c r="Z35"/>
  <c r="X35"/>
  <c r="V35"/>
  <c r="Q35"/>
  <c r="O35"/>
  <c r="M35"/>
  <c r="K35"/>
  <c r="H35"/>
  <c r="AG92"/>
  <c r="AB92"/>
  <c r="Z92"/>
  <c r="X92"/>
  <c r="V92"/>
  <c r="Q92"/>
  <c r="O92"/>
  <c r="M92"/>
  <c r="K92"/>
  <c r="H92"/>
  <c r="AG88"/>
  <c r="AB88"/>
  <c r="Z88"/>
  <c r="X88"/>
  <c r="V88"/>
  <c r="Q88"/>
  <c r="O88"/>
  <c r="M88"/>
  <c r="K88"/>
  <c r="H88"/>
  <c r="AG33"/>
  <c r="AB33"/>
  <c r="Z33"/>
  <c r="X33"/>
  <c r="V33"/>
  <c r="Q33"/>
  <c r="O33"/>
  <c r="M33"/>
  <c r="K33"/>
  <c r="H33"/>
  <c r="AG31"/>
  <c r="AB31"/>
  <c r="Z31"/>
  <c r="X31"/>
  <c r="V31"/>
  <c r="Q31"/>
  <c r="O31"/>
  <c r="M31"/>
  <c r="K31"/>
  <c r="H31"/>
  <c r="AG30"/>
  <c r="AB30"/>
  <c r="Z30"/>
  <c r="X30"/>
  <c r="V30"/>
  <c r="Q30"/>
  <c r="O30"/>
  <c r="M30"/>
  <c r="K30"/>
  <c r="H30"/>
  <c r="AG39"/>
  <c r="AB39"/>
  <c r="Z39"/>
  <c r="X39"/>
  <c r="V39"/>
  <c r="Q39"/>
  <c r="O39"/>
  <c r="M39"/>
  <c r="K39"/>
  <c r="H39"/>
  <c r="AG32"/>
  <c r="AB32"/>
  <c r="Q32"/>
  <c r="O32"/>
  <c r="M32"/>
  <c r="K32"/>
  <c r="H32"/>
  <c r="AG29"/>
  <c r="AB29"/>
  <c r="Z29"/>
  <c r="X29"/>
  <c r="V29"/>
  <c r="Q29"/>
  <c r="O29"/>
  <c r="M29"/>
  <c r="K29"/>
  <c r="H29"/>
  <c r="AG28"/>
  <c r="AB28"/>
  <c r="Z28"/>
  <c r="X28"/>
  <c r="V28"/>
  <c r="Q28"/>
  <c r="O28"/>
  <c r="M28"/>
  <c r="K28"/>
  <c r="H28"/>
  <c r="AG25"/>
  <c r="AB25"/>
  <c r="Z25"/>
  <c r="X25"/>
  <c r="V25"/>
  <c r="Q25"/>
  <c r="O25"/>
  <c r="M25"/>
  <c r="K25"/>
  <c r="H25"/>
  <c r="AG24"/>
  <c r="AB24"/>
  <c r="Z24"/>
  <c r="X24"/>
  <c r="V24"/>
  <c r="Q24"/>
  <c r="O24"/>
  <c r="M24"/>
  <c r="K24"/>
  <c r="H24"/>
  <c r="AG23"/>
  <c r="AB23"/>
  <c r="Z23"/>
  <c r="X23"/>
  <c r="V23"/>
  <c r="Q23"/>
  <c r="O23"/>
  <c r="M23"/>
  <c r="K23"/>
  <c r="H23"/>
  <c r="AG22"/>
  <c r="AB22"/>
  <c r="Z22"/>
  <c r="X22"/>
  <c r="V22"/>
  <c r="Q22"/>
  <c r="O22"/>
  <c r="M22"/>
  <c r="K22"/>
  <c r="H22"/>
  <c r="AG21"/>
  <c r="AB21"/>
  <c r="Z21"/>
  <c r="X21"/>
  <c r="V21"/>
  <c r="Q21"/>
  <c r="O21"/>
  <c r="M21"/>
  <c r="K21"/>
  <c r="H21"/>
  <c r="AG20"/>
  <c r="AB20"/>
  <c r="Z20"/>
  <c r="X20"/>
  <c r="V20"/>
  <c r="Q20"/>
  <c r="O20"/>
  <c r="M20"/>
  <c r="K20"/>
  <c r="H20"/>
  <c r="AG19"/>
  <c r="AB19"/>
  <c r="Z19"/>
  <c r="X19"/>
  <c r="V19"/>
  <c r="Q19"/>
  <c r="O19"/>
  <c r="M19"/>
  <c r="K19"/>
  <c r="H19"/>
  <c r="F9"/>
  <c r="E9"/>
  <c r="D9"/>
  <c r="G11"/>
  <c r="G10"/>
  <c r="E17" i="21"/>
  <c r="L17"/>
  <c r="O17"/>
  <c r="P17"/>
  <c r="Q17"/>
  <c r="R17"/>
  <c r="S17"/>
  <c r="T17"/>
  <c r="W17"/>
  <c r="K59" i="24"/>
  <c r="N59" s="1"/>
  <c r="Y59" s="1"/>
  <c r="Z59" s="1"/>
  <c r="K58"/>
  <c r="M58" s="1"/>
  <c r="K57"/>
  <c r="N57" s="1"/>
  <c r="K56"/>
  <c r="N56" s="1"/>
  <c r="K55"/>
  <c r="N55" s="1"/>
  <c r="K54"/>
  <c r="N54" s="1"/>
  <c r="K53"/>
  <c r="N53" s="1"/>
  <c r="K52"/>
  <c r="N52" s="1"/>
  <c r="K51"/>
  <c r="N51" s="1"/>
  <c r="K50"/>
  <c r="N50" s="1"/>
  <c r="K49"/>
  <c r="N49" s="1"/>
  <c r="K48"/>
  <c r="N48" s="1"/>
  <c r="K47"/>
  <c r="N47" s="1"/>
  <c r="K46"/>
  <c r="N46" s="1"/>
  <c r="K45"/>
  <c r="N45" s="1"/>
  <c r="K44"/>
  <c r="N44" s="1"/>
  <c r="K43"/>
  <c r="N43" s="1"/>
  <c r="K42"/>
  <c r="N42" s="1"/>
  <c r="K41"/>
  <c r="N41" s="1"/>
  <c r="K40"/>
  <c r="N40" s="1"/>
  <c r="K39"/>
  <c r="N39" s="1"/>
  <c r="K38"/>
  <c r="N38" s="1"/>
  <c r="K37"/>
  <c r="N37" s="1"/>
  <c r="K36"/>
  <c r="K35"/>
  <c r="M35" s="1"/>
  <c r="N35" s="1"/>
  <c r="K34"/>
  <c r="K33"/>
  <c r="M33" s="1"/>
  <c r="K32"/>
  <c r="M32" s="1"/>
  <c r="N32" s="1"/>
  <c r="K31"/>
  <c r="M31" s="1"/>
  <c r="K30"/>
  <c r="K29"/>
  <c r="K28"/>
  <c r="M28" s="1"/>
  <c r="N28" s="1"/>
  <c r="K27"/>
  <c r="M27" s="1"/>
  <c r="K26"/>
  <c r="K25"/>
  <c r="M25" s="1"/>
  <c r="K24"/>
  <c r="N24" s="1"/>
  <c r="K23"/>
  <c r="N23" s="1"/>
  <c r="K22"/>
  <c r="M22" s="1"/>
  <c r="N22" s="1"/>
  <c r="K21"/>
  <c r="K20"/>
  <c r="M20" s="1"/>
  <c r="N20" s="1"/>
  <c r="K19"/>
  <c r="M19" s="1"/>
  <c r="K18"/>
  <c r="M18" s="1"/>
  <c r="W17"/>
  <c r="T17"/>
  <c r="S17"/>
  <c r="R17"/>
  <c r="Q17"/>
  <c r="P17"/>
  <c r="O17"/>
  <c r="L17"/>
  <c r="E17"/>
  <c r="K61" i="21"/>
  <c r="N61" s="1"/>
  <c r="K62"/>
  <c r="N62" s="1"/>
  <c r="Y62" s="1"/>
  <c r="Z62" s="1"/>
  <c r="K60"/>
  <c r="Y13" i="26" l="1"/>
  <c r="X18" i="25"/>
  <c r="Z18"/>
  <c r="V18"/>
  <c r="AG18"/>
  <c r="Z16" i="26"/>
  <c r="Z13" s="1"/>
  <c r="M18" i="25"/>
  <c r="Q18"/>
  <c r="AB18"/>
  <c r="K18"/>
  <c r="O18"/>
  <c r="R86"/>
  <c r="S86" s="1"/>
  <c r="T86" s="1"/>
  <c r="R89"/>
  <c r="S89" s="1"/>
  <c r="T89" s="1"/>
  <c r="R27"/>
  <c r="S27" s="1"/>
  <c r="AE27" s="1"/>
  <c r="R62"/>
  <c r="S62" s="1"/>
  <c r="R71"/>
  <c r="S71" s="1"/>
  <c r="R48"/>
  <c r="S48" s="1"/>
  <c r="R50"/>
  <c r="S50" s="1"/>
  <c r="R73"/>
  <c r="S73" s="1"/>
  <c r="R75"/>
  <c r="S75" s="1"/>
  <c r="R45"/>
  <c r="S45" s="1"/>
  <c r="R47"/>
  <c r="S47" s="1"/>
  <c r="T47" s="1"/>
  <c r="R65"/>
  <c r="S65" s="1"/>
  <c r="R69"/>
  <c r="S69" s="1"/>
  <c r="AI69" s="1"/>
  <c r="R35"/>
  <c r="S35" s="1"/>
  <c r="T35" s="1"/>
  <c r="R84"/>
  <c r="S84" s="1"/>
  <c r="AE84" s="1"/>
  <c r="R55"/>
  <c r="S55" s="1"/>
  <c r="R24"/>
  <c r="S24" s="1"/>
  <c r="AK24" s="1"/>
  <c r="R28"/>
  <c r="S28" s="1"/>
  <c r="R59"/>
  <c r="S59" s="1"/>
  <c r="T59" s="1"/>
  <c r="R30"/>
  <c r="S30" s="1"/>
  <c r="R76"/>
  <c r="S76" s="1"/>
  <c r="R82"/>
  <c r="S82" s="1"/>
  <c r="R22"/>
  <c r="S22" s="1"/>
  <c r="R39"/>
  <c r="S39" s="1"/>
  <c r="R41"/>
  <c r="S41" s="1"/>
  <c r="R43"/>
  <c r="S43" s="1"/>
  <c r="T43" s="1"/>
  <c r="R79"/>
  <c r="S79" s="1"/>
  <c r="R19"/>
  <c r="S19" s="1"/>
  <c r="R21"/>
  <c r="S21" s="1"/>
  <c r="R29"/>
  <c r="S29" s="1"/>
  <c r="R33"/>
  <c r="S33" s="1"/>
  <c r="T33" s="1"/>
  <c r="R40"/>
  <c r="S40" s="1"/>
  <c r="R52"/>
  <c r="S52" s="1"/>
  <c r="R54"/>
  <c r="S54" s="1"/>
  <c r="R61"/>
  <c r="S61" s="1"/>
  <c r="N60" i="21"/>
  <c r="Y60" s="1"/>
  <c r="Z60" s="1"/>
  <c r="Y61"/>
  <c r="Z61" s="1"/>
  <c r="R23" i="25"/>
  <c r="S23" s="1"/>
  <c r="R25"/>
  <c r="S25" s="1"/>
  <c r="R32"/>
  <c r="S32" s="1"/>
  <c r="R31"/>
  <c r="S31" s="1"/>
  <c r="R88"/>
  <c r="S88" s="1"/>
  <c r="R36"/>
  <c r="S36" s="1"/>
  <c r="R26"/>
  <c r="S26" s="1"/>
  <c r="R44"/>
  <c r="S44" s="1"/>
  <c r="R46"/>
  <c r="S46" s="1"/>
  <c r="R49"/>
  <c r="S49" s="1"/>
  <c r="R60"/>
  <c r="S60" s="1"/>
  <c r="R64"/>
  <c r="S64" s="1"/>
  <c r="R67"/>
  <c r="S67" s="1"/>
  <c r="R81"/>
  <c r="S81" s="1"/>
  <c r="R83"/>
  <c r="S83" s="1"/>
  <c r="R85"/>
  <c r="S85" s="1"/>
  <c r="R87"/>
  <c r="S87" s="1"/>
  <c r="R90"/>
  <c r="S90" s="1"/>
  <c r="R34"/>
  <c r="S34" s="1"/>
  <c r="R42"/>
  <c r="S42" s="1"/>
  <c r="R58"/>
  <c r="S58" s="1"/>
  <c r="R20"/>
  <c r="R92"/>
  <c r="R38"/>
  <c r="S38" s="1"/>
  <c r="R51"/>
  <c r="S51" s="1"/>
  <c r="R53"/>
  <c r="S53" s="1"/>
  <c r="R56"/>
  <c r="S56" s="1"/>
  <c r="R63"/>
  <c r="S63" s="1"/>
  <c r="R70"/>
  <c r="S70" s="1"/>
  <c r="R74"/>
  <c r="S74" s="1"/>
  <c r="R77"/>
  <c r="S77" s="1"/>
  <c r="R78"/>
  <c r="S78" s="1"/>
  <c r="R80"/>
  <c r="S80" s="1"/>
  <c r="R91"/>
  <c r="S91" s="1"/>
  <c r="R37"/>
  <c r="S37" s="1"/>
  <c r="R66"/>
  <c r="S66" s="1"/>
  <c r="R68"/>
  <c r="S68" s="1"/>
  <c r="R72"/>
  <c r="S72" s="1"/>
  <c r="G9"/>
  <c r="N31" i="24"/>
  <c r="Y31" s="1"/>
  <c r="Z31" s="1"/>
  <c r="Y37"/>
  <c r="Z37" s="1"/>
  <c r="Y39"/>
  <c r="Z39" s="1"/>
  <c r="Y41"/>
  <c r="Z41" s="1"/>
  <c r="Y43"/>
  <c r="Z43" s="1"/>
  <c r="Y45"/>
  <c r="Z45" s="1"/>
  <c r="Y47"/>
  <c r="Z47" s="1"/>
  <c r="Y49"/>
  <c r="Z49" s="1"/>
  <c r="Y51"/>
  <c r="Z51" s="1"/>
  <c r="Y53"/>
  <c r="Z53" s="1"/>
  <c r="Y55"/>
  <c r="Z55" s="1"/>
  <c r="Y57"/>
  <c r="Z57" s="1"/>
  <c r="Y23"/>
  <c r="Z23" s="1"/>
  <c r="N33"/>
  <c r="Y33" s="1"/>
  <c r="Z33" s="1"/>
  <c r="N25"/>
  <c r="Y25" s="1"/>
  <c r="Z25" s="1"/>
  <c r="N19"/>
  <c r="Y19" s="1"/>
  <c r="Z19" s="1"/>
  <c r="N27"/>
  <c r="Y27" s="1"/>
  <c r="Z27" s="1"/>
  <c r="M29"/>
  <c r="N29" s="1"/>
  <c r="Y29" s="1"/>
  <c r="Z29" s="1"/>
  <c r="Y38"/>
  <c r="Z38" s="1"/>
  <c r="Y40"/>
  <c r="Z40" s="1"/>
  <c r="Y42"/>
  <c r="Z42" s="1"/>
  <c r="Y44"/>
  <c r="Z44" s="1"/>
  <c r="Y46"/>
  <c r="Z46" s="1"/>
  <c r="Y48"/>
  <c r="Z48" s="1"/>
  <c r="Y50"/>
  <c r="Z50" s="1"/>
  <c r="Y52"/>
  <c r="Z52" s="1"/>
  <c r="Y54"/>
  <c r="Z54" s="1"/>
  <c r="Y56"/>
  <c r="Z56" s="1"/>
  <c r="N58"/>
  <c r="Y58" s="1"/>
  <c r="Z58" s="1"/>
  <c r="Y24"/>
  <c r="Z24" s="1"/>
  <c r="X18"/>
  <c r="N18"/>
  <c r="X20"/>
  <c r="Y20" s="1"/>
  <c r="Z20" s="1"/>
  <c r="M21"/>
  <c r="Y22"/>
  <c r="Z22" s="1"/>
  <c r="M26"/>
  <c r="N26" s="1"/>
  <c r="Y28"/>
  <c r="Z28" s="1"/>
  <c r="M30"/>
  <c r="N30" s="1"/>
  <c r="Y30" s="1"/>
  <c r="Z30" s="1"/>
  <c r="Y32"/>
  <c r="Z32" s="1"/>
  <c r="M34"/>
  <c r="N34" s="1"/>
  <c r="V35"/>
  <c r="V17" s="1"/>
  <c r="M36"/>
  <c r="K17"/>
  <c r="S92" i="25" l="1"/>
  <c r="R18"/>
  <c r="T61"/>
  <c r="AE61"/>
  <c r="AE71"/>
  <c r="AJ71"/>
  <c r="T71"/>
  <c r="AE33"/>
  <c r="AE89"/>
  <c r="AM89" s="1"/>
  <c r="AN89" s="1"/>
  <c r="Y18" i="24"/>
  <c r="Z18" s="1"/>
  <c r="AK59" i="25"/>
  <c r="T65"/>
  <c r="AI65"/>
  <c r="AE65"/>
  <c r="T28"/>
  <c r="AJ28"/>
  <c r="AE28"/>
  <c r="AE45"/>
  <c r="AJ45"/>
  <c r="T45"/>
  <c r="AE47"/>
  <c r="AE59"/>
  <c r="AE30"/>
  <c r="AI30"/>
  <c r="T30"/>
  <c r="AJ84"/>
  <c r="T84"/>
  <c r="AE35"/>
  <c r="AM35" s="1"/>
  <c r="AN35" s="1"/>
  <c r="T27"/>
  <c r="T24"/>
  <c r="AE24"/>
  <c r="T36"/>
  <c r="AI36"/>
  <c r="AE36"/>
  <c r="AE54"/>
  <c r="T54"/>
  <c r="AI54"/>
  <c r="T22"/>
  <c r="AK22"/>
  <c r="AE22"/>
  <c r="AE76"/>
  <c r="T76"/>
  <c r="T26"/>
  <c r="AE26"/>
  <c r="T39"/>
  <c r="AE39"/>
  <c r="AK82"/>
  <c r="AE82"/>
  <c r="T82"/>
  <c r="AE43"/>
  <c r="AE86"/>
  <c r="AJ47"/>
  <c r="AI43"/>
  <c r="AK33"/>
  <c r="AJ86"/>
  <c r="U34" i="24"/>
  <c r="U17" s="1"/>
  <c r="S20" i="25"/>
  <c r="T20" s="1"/>
  <c r="T77"/>
  <c r="AK77"/>
  <c r="AE77"/>
  <c r="T70"/>
  <c r="AE70"/>
  <c r="AE51"/>
  <c r="T51"/>
  <c r="AK51"/>
  <c r="AK81"/>
  <c r="T81"/>
  <c r="AE81"/>
  <c r="AK85"/>
  <c r="T85"/>
  <c r="AE85"/>
  <c r="AJ53"/>
  <c r="T53"/>
  <c r="AE53"/>
  <c r="AK25"/>
  <c r="T25"/>
  <c r="AE25"/>
  <c r="T73"/>
  <c r="AE73"/>
  <c r="AI73"/>
  <c r="T37"/>
  <c r="AE37"/>
  <c r="AK37"/>
  <c r="AI75"/>
  <c r="T75"/>
  <c r="AE75"/>
  <c r="AI42"/>
  <c r="T42"/>
  <c r="AE42"/>
  <c r="T88"/>
  <c r="AE88"/>
  <c r="T34"/>
  <c r="AE34"/>
  <c r="T78"/>
  <c r="AE78"/>
  <c r="AJ78"/>
  <c r="T60"/>
  <c r="AE60"/>
  <c r="AJ60"/>
  <c r="T44"/>
  <c r="AE44"/>
  <c r="AJ44"/>
  <c r="T23"/>
  <c r="AE23"/>
  <c r="AJ23"/>
  <c r="AI32"/>
  <c r="T32"/>
  <c r="AE32"/>
  <c r="AJ62"/>
  <c r="T62"/>
  <c r="AE62"/>
  <c r="AJ68"/>
  <c r="T68"/>
  <c r="AE68"/>
  <c r="T41"/>
  <c r="AE41"/>
  <c r="T91"/>
  <c r="AE91"/>
  <c r="T55"/>
  <c r="AE55"/>
  <c r="AJ55"/>
  <c r="T19"/>
  <c r="AE19"/>
  <c r="AI19"/>
  <c r="AJ52"/>
  <c r="T52"/>
  <c r="AE52"/>
  <c r="AI87"/>
  <c r="T87"/>
  <c r="AE87"/>
  <c r="AI58"/>
  <c r="T58"/>
  <c r="AE58"/>
  <c r="T69"/>
  <c r="AE69"/>
  <c r="T80"/>
  <c r="AE80"/>
  <c r="T63"/>
  <c r="AE63"/>
  <c r="AJ46"/>
  <c r="T46"/>
  <c r="AE46"/>
  <c r="AE90"/>
  <c r="AI90"/>
  <c r="T90"/>
  <c r="T83"/>
  <c r="AE83"/>
  <c r="AI83"/>
  <c r="T66"/>
  <c r="AE66"/>
  <c r="AI66"/>
  <c r="T48"/>
  <c r="AE48"/>
  <c r="AI48"/>
  <c r="T29"/>
  <c r="AE29"/>
  <c r="AJ29"/>
  <c r="AJ49"/>
  <c r="T49"/>
  <c r="AE49"/>
  <c r="AJ79"/>
  <c r="T79"/>
  <c r="AE79"/>
  <c r="AJ56"/>
  <c r="T56"/>
  <c r="AE56"/>
  <c r="AJ64"/>
  <c r="T64"/>
  <c r="AE64"/>
  <c r="AJ50"/>
  <c r="T50"/>
  <c r="AE50"/>
  <c r="T40"/>
  <c r="AE40"/>
  <c r="AJ21"/>
  <c r="T21"/>
  <c r="AE21"/>
  <c r="T72"/>
  <c r="AE72"/>
  <c r="T31"/>
  <c r="AE31"/>
  <c r="AJ31"/>
  <c r="AJ67"/>
  <c r="T67"/>
  <c r="AE67"/>
  <c r="AI38"/>
  <c r="T38"/>
  <c r="AE38"/>
  <c r="AK74"/>
  <c r="T74"/>
  <c r="AE74"/>
  <c r="M17" i="24"/>
  <c r="X21"/>
  <c r="X17" s="1"/>
  <c r="Y26"/>
  <c r="Z26" s="1"/>
  <c r="N36"/>
  <c r="Y36" s="1"/>
  <c r="Z36" s="1"/>
  <c r="Y35"/>
  <c r="Z35" s="1"/>
  <c r="N21"/>
  <c r="AK92" i="25" l="1"/>
  <c r="S18"/>
  <c r="AI18"/>
  <c r="AE92"/>
  <c r="AK18"/>
  <c r="T92"/>
  <c r="T18" s="1"/>
  <c r="AM61"/>
  <c r="AN61" s="1"/>
  <c r="AM47"/>
  <c r="AN47" s="1"/>
  <c r="AM84"/>
  <c r="AN84" s="1"/>
  <c r="AM45"/>
  <c r="AN45" s="1"/>
  <c r="AM65"/>
  <c r="AN65" s="1"/>
  <c r="AM24"/>
  <c r="AN24" s="1"/>
  <c r="AM33"/>
  <c r="AN33" s="1"/>
  <c r="AM28"/>
  <c r="AN28" s="1"/>
  <c r="AM59"/>
  <c r="AN59" s="1"/>
  <c r="AM71"/>
  <c r="AN71" s="1"/>
  <c r="AM86"/>
  <c r="AN86" s="1"/>
  <c r="AM26"/>
  <c r="AN26" s="1"/>
  <c r="AM30"/>
  <c r="AN30" s="1"/>
  <c r="AM38"/>
  <c r="AN38" s="1"/>
  <c r="AM88"/>
  <c r="AN88" s="1"/>
  <c r="Y34" i="24"/>
  <c r="Z34" s="1"/>
  <c r="AM39" i="25"/>
  <c r="AN39" s="1"/>
  <c r="AM27"/>
  <c r="AN27" s="1"/>
  <c r="AM67"/>
  <c r="AN67" s="1"/>
  <c r="AM46"/>
  <c r="AN46" s="1"/>
  <c r="AM80"/>
  <c r="AN80" s="1"/>
  <c r="AE20"/>
  <c r="AM43"/>
  <c r="AN43" s="1"/>
  <c r="AM36"/>
  <c r="AN36" s="1"/>
  <c r="AJ20"/>
  <c r="AM82"/>
  <c r="AN82" s="1"/>
  <c r="AM74"/>
  <c r="AN74" s="1"/>
  <c r="AM58"/>
  <c r="AN58" s="1"/>
  <c r="AM50"/>
  <c r="AN50" s="1"/>
  <c r="AM49"/>
  <c r="AN49" s="1"/>
  <c r="AM83"/>
  <c r="AN83" s="1"/>
  <c r="AM41"/>
  <c r="AN41" s="1"/>
  <c r="AM76"/>
  <c r="AN76" s="1"/>
  <c r="AM78"/>
  <c r="AN78" s="1"/>
  <c r="AM75"/>
  <c r="AN75" s="1"/>
  <c r="AM53"/>
  <c r="AN53" s="1"/>
  <c r="AM70"/>
  <c r="AN70" s="1"/>
  <c r="AM31"/>
  <c r="AN31" s="1"/>
  <c r="AM21"/>
  <c r="AN21" s="1"/>
  <c r="AM56"/>
  <c r="AN56" s="1"/>
  <c r="AM48"/>
  <c r="AN48" s="1"/>
  <c r="AM90"/>
  <c r="AN90" s="1"/>
  <c r="AM22"/>
  <c r="AN22" s="1"/>
  <c r="AM54"/>
  <c r="AN54" s="1"/>
  <c r="AM40"/>
  <c r="AN40" s="1"/>
  <c r="AM79"/>
  <c r="AN79" s="1"/>
  <c r="AM66"/>
  <c r="AN66" s="1"/>
  <c r="AM63"/>
  <c r="AN63" s="1"/>
  <c r="AM87"/>
  <c r="AN87" s="1"/>
  <c r="AM91"/>
  <c r="AN91" s="1"/>
  <c r="AM68"/>
  <c r="AN68" s="1"/>
  <c r="AM23"/>
  <c r="AN23" s="1"/>
  <c r="AM34"/>
  <c r="AN34" s="1"/>
  <c r="AM37"/>
  <c r="AN37" s="1"/>
  <c r="AM85"/>
  <c r="AN85" s="1"/>
  <c r="AM52"/>
  <c r="AN52" s="1"/>
  <c r="AM44"/>
  <c r="AN44" s="1"/>
  <c r="AM73"/>
  <c r="AN73" s="1"/>
  <c r="AM81"/>
  <c r="AN81" s="1"/>
  <c r="AM51"/>
  <c r="AN51" s="1"/>
  <c r="AM77"/>
  <c r="AN77" s="1"/>
  <c r="N17" i="24"/>
  <c r="AM72" i="25"/>
  <c r="AN72" s="1"/>
  <c r="AM64"/>
  <c r="AN64" s="1"/>
  <c r="AM29"/>
  <c r="AN29" s="1"/>
  <c r="AM69"/>
  <c r="AN69" s="1"/>
  <c r="AM55"/>
  <c r="AN55" s="1"/>
  <c r="AM62"/>
  <c r="AN62" s="1"/>
  <c r="AM32"/>
  <c r="AN32" s="1"/>
  <c r="AM60"/>
  <c r="AN60" s="1"/>
  <c r="AM42"/>
  <c r="AN42" s="1"/>
  <c r="AM25"/>
  <c r="AN25" s="1"/>
  <c r="AM19"/>
  <c r="Y21" i="24"/>
  <c r="Z21" s="1"/>
  <c r="AM92" i="25" l="1"/>
  <c r="AE18"/>
  <c r="AJ18"/>
  <c r="Z17" i="24"/>
  <c r="AM20" i="25"/>
  <c r="AN20" s="1"/>
  <c r="AN19"/>
  <c r="Y17" i="24"/>
  <c r="AN92" i="25" l="1"/>
  <c r="AN18" s="1"/>
  <c r="AM18"/>
  <c r="K24" i="21"/>
  <c r="N24" s="1"/>
  <c r="Y24" s="1"/>
  <c r="Z24" s="1"/>
  <c r="K39"/>
  <c r="K40"/>
  <c r="N40" s="1"/>
  <c r="N39" l="1"/>
  <c r="Y39" s="1"/>
  <c r="Z39" s="1"/>
  <c r="Y40"/>
  <c r="Z40" s="1"/>
  <c r="H83" i="23" l="1"/>
  <c r="K83"/>
  <c r="M83"/>
  <c r="O83"/>
  <c r="Q83"/>
  <c r="V83"/>
  <c r="X83"/>
  <c r="Z83"/>
  <c r="AB83"/>
  <c r="AG83"/>
  <c r="R83" l="1"/>
  <c r="S83" s="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4"/>
  <c r="H85"/>
  <c r="H86"/>
  <c r="H87"/>
  <c r="H88"/>
  <c r="H89"/>
  <c r="H90"/>
  <c r="H91"/>
  <c r="H92"/>
  <c r="H93"/>
  <c r="H94"/>
  <c r="H95"/>
  <c r="H96"/>
  <c r="H97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4"/>
  <c r="K85"/>
  <c r="K86"/>
  <c r="K87"/>
  <c r="K88"/>
  <c r="K89"/>
  <c r="K90"/>
  <c r="K91"/>
  <c r="K92"/>
  <c r="K93"/>
  <c r="K94"/>
  <c r="K95"/>
  <c r="K96"/>
  <c r="K97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4"/>
  <c r="M85"/>
  <c r="M86"/>
  <c r="M87"/>
  <c r="M88"/>
  <c r="M89"/>
  <c r="M90"/>
  <c r="M91"/>
  <c r="M92"/>
  <c r="M93"/>
  <c r="M94"/>
  <c r="M95"/>
  <c r="M96"/>
  <c r="M97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AE83" l="1"/>
  <c r="T83"/>
  <c r="AM83" l="1"/>
  <c r="AN83" s="1"/>
  <c r="Q91" l="1"/>
  <c r="O60" l="1"/>
  <c r="AG97" l="1"/>
  <c r="AB97"/>
  <c r="Z97"/>
  <c r="X97"/>
  <c r="V97"/>
  <c r="Q97"/>
  <c r="O97"/>
  <c r="AG96"/>
  <c r="AB96"/>
  <c r="Z96"/>
  <c r="X96"/>
  <c r="V96"/>
  <c r="Q96"/>
  <c r="O96"/>
  <c r="AG95"/>
  <c r="AB95"/>
  <c r="Z95"/>
  <c r="X95"/>
  <c r="V95"/>
  <c r="Q95"/>
  <c r="O95"/>
  <c r="AG94"/>
  <c r="AB94"/>
  <c r="Z94"/>
  <c r="X94"/>
  <c r="V94"/>
  <c r="Q94"/>
  <c r="O94"/>
  <c r="AG93"/>
  <c r="AB93"/>
  <c r="Z93"/>
  <c r="X93"/>
  <c r="V93"/>
  <c r="Q93"/>
  <c r="O93"/>
  <c r="AG92"/>
  <c r="AB92"/>
  <c r="Z92"/>
  <c r="X92"/>
  <c r="V92"/>
  <c r="Q92"/>
  <c r="O92"/>
  <c r="AG91"/>
  <c r="AB91"/>
  <c r="Z91"/>
  <c r="X91"/>
  <c r="V91"/>
  <c r="O91"/>
  <c r="AG90"/>
  <c r="AB90"/>
  <c r="Z90"/>
  <c r="Q90"/>
  <c r="O90"/>
  <c r="AG89"/>
  <c r="AB89"/>
  <c r="Z89"/>
  <c r="X89"/>
  <c r="V89"/>
  <c r="Q89"/>
  <c r="O89"/>
  <c r="AG88"/>
  <c r="AB88"/>
  <c r="Z88"/>
  <c r="X88"/>
  <c r="V88"/>
  <c r="Q88"/>
  <c r="O88"/>
  <c r="AG87"/>
  <c r="AB87"/>
  <c r="Z87"/>
  <c r="X87"/>
  <c r="V87"/>
  <c r="Q87"/>
  <c r="O87"/>
  <c r="AG86"/>
  <c r="AB86"/>
  <c r="Z86"/>
  <c r="X86"/>
  <c r="V86"/>
  <c r="Q86"/>
  <c r="O86"/>
  <c r="AG85"/>
  <c r="AB85"/>
  <c r="Z85"/>
  <c r="X85"/>
  <c r="V85"/>
  <c r="Q85"/>
  <c r="O85"/>
  <c r="AG84"/>
  <c r="AB84"/>
  <c r="Z84"/>
  <c r="X84"/>
  <c r="V84"/>
  <c r="Q84"/>
  <c r="O84"/>
  <c r="AG82"/>
  <c r="AB82"/>
  <c r="Z82"/>
  <c r="X82"/>
  <c r="V82"/>
  <c r="Q82"/>
  <c r="O82"/>
  <c r="AG81"/>
  <c r="AB81"/>
  <c r="Z81"/>
  <c r="X81"/>
  <c r="V81"/>
  <c r="Q81"/>
  <c r="O81"/>
  <c r="AG80"/>
  <c r="AB80"/>
  <c r="Z80"/>
  <c r="X80"/>
  <c r="V80"/>
  <c r="Q80"/>
  <c r="O80"/>
  <c r="AG79"/>
  <c r="AB79"/>
  <c r="Z79"/>
  <c r="X79"/>
  <c r="V79"/>
  <c r="Q79"/>
  <c r="O79"/>
  <c r="AG78"/>
  <c r="AB78"/>
  <c r="Z78"/>
  <c r="X78"/>
  <c r="V78"/>
  <c r="Q78"/>
  <c r="O78"/>
  <c r="AG77"/>
  <c r="AB77"/>
  <c r="Z77"/>
  <c r="X77"/>
  <c r="V77"/>
  <c r="Q77"/>
  <c r="O77"/>
  <c r="AG76"/>
  <c r="AB76"/>
  <c r="Z76"/>
  <c r="X76"/>
  <c r="V76"/>
  <c r="Q76"/>
  <c r="O76"/>
  <c r="AG75"/>
  <c r="AB75"/>
  <c r="Z75"/>
  <c r="X75"/>
  <c r="V75"/>
  <c r="Q75"/>
  <c r="O75"/>
  <c r="AG74"/>
  <c r="AB74"/>
  <c r="Z74"/>
  <c r="X74"/>
  <c r="V74"/>
  <c r="Q74"/>
  <c r="O74"/>
  <c r="AG73"/>
  <c r="AB73"/>
  <c r="Z73"/>
  <c r="X73"/>
  <c r="V73"/>
  <c r="Q73"/>
  <c r="O73"/>
  <c r="AG72"/>
  <c r="AB72"/>
  <c r="Z72"/>
  <c r="X72"/>
  <c r="V72"/>
  <c r="Q72"/>
  <c r="O72"/>
  <c r="AG71"/>
  <c r="AB71"/>
  <c r="Z71"/>
  <c r="X71"/>
  <c r="V71"/>
  <c r="Q71"/>
  <c r="O71"/>
  <c r="AG70"/>
  <c r="AB70"/>
  <c r="Z70"/>
  <c r="X70"/>
  <c r="V70"/>
  <c r="Q70"/>
  <c r="O70"/>
  <c r="AG69"/>
  <c r="AB69"/>
  <c r="Z69"/>
  <c r="X69"/>
  <c r="V69"/>
  <c r="Q69"/>
  <c r="O69"/>
  <c r="AG68"/>
  <c r="AB68"/>
  <c r="Z68"/>
  <c r="X68"/>
  <c r="V68"/>
  <c r="Q68"/>
  <c r="O68"/>
  <c r="AG67"/>
  <c r="AB67"/>
  <c r="Z67"/>
  <c r="X67"/>
  <c r="V67"/>
  <c r="Q67"/>
  <c r="O67"/>
  <c r="AG66"/>
  <c r="AB66"/>
  <c r="Z66"/>
  <c r="X66"/>
  <c r="V66"/>
  <c r="Q66"/>
  <c r="O66"/>
  <c r="AG65"/>
  <c r="AB65"/>
  <c r="Z65"/>
  <c r="X65"/>
  <c r="V65"/>
  <c r="Q65"/>
  <c r="O65"/>
  <c r="AG64"/>
  <c r="AB64"/>
  <c r="Z64"/>
  <c r="X64"/>
  <c r="V64"/>
  <c r="Q64"/>
  <c r="O64"/>
  <c r="AG63"/>
  <c r="AB63"/>
  <c r="Z63"/>
  <c r="X63"/>
  <c r="V63"/>
  <c r="Q63"/>
  <c r="O63"/>
  <c r="AG62"/>
  <c r="AB62"/>
  <c r="Z62"/>
  <c r="X62"/>
  <c r="V62"/>
  <c r="Q62"/>
  <c r="O62"/>
  <c r="AG61"/>
  <c r="AB61"/>
  <c r="Z61"/>
  <c r="X61"/>
  <c r="V61"/>
  <c r="Q61"/>
  <c r="O61"/>
  <c r="AG60"/>
  <c r="AB60"/>
  <c r="Z60"/>
  <c r="X60"/>
  <c r="V60"/>
  <c r="Q60"/>
  <c r="AG59"/>
  <c r="AB59"/>
  <c r="Z59"/>
  <c r="X59"/>
  <c r="V59"/>
  <c r="Q59"/>
  <c r="O59"/>
  <c r="AG58"/>
  <c r="AB58"/>
  <c r="Z58"/>
  <c r="X58"/>
  <c r="V58"/>
  <c r="Q58"/>
  <c r="O58"/>
  <c r="AG57"/>
  <c r="AB57"/>
  <c r="Z57"/>
  <c r="X57"/>
  <c r="V57"/>
  <c r="Q57"/>
  <c r="O57"/>
  <c r="AG56"/>
  <c r="AB56"/>
  <c r="Z56"/>
  <c r="X56"/>
  <c r="V56"/>
  <c r="Q56"/>
  <c r="O56"/>
  <c r="AG55"/>
  <c r="AB55"/>
  <c r="Z55"/>
  <c r="X55"/>
  <c r="V55"/>
  <c r="Q55"/>
  <c r="O55"/>
  <c r="AG54"/>
  <c r="AB54"/>
  <c r="Z54"/>
  <c r="X54"/>
  <c r="V54"/>
  <c r="Q54"/>
  <c r="O54"/>
  <c r="AG53"/>
  <c r="AB53"/>
  <c r="Z53"/>
  <c r="X53"/>
  <c r="V53"/>
  <c r="Q53"/>
  <c r="O53"/>
  <c r="AG52"/>
  <c r="AB52"/>
  <c r="Z52"/>
  <c r="X52"/>
  <c r="V52"/>
  <c r="Q52"/>
  <c r="O52"/>
  <c r="AG51"/>
  <c r="AB51"/>
  <c r="Z51"/>
  <c r="X51"/>
  <c r="V51"/>
  <c r="Q51"/>
  <c r="O51"/>
  <c r="AG50"/>
  <c r="AB50"/>
  <c r="Z50"/>
  <c r="X50"/>
  <c r="V50"/>
  <c r="Q50"/>
  <c r="O50"/>
  <c r="AG49"/>
  <c r="AB49"/>
  <c r="Z49"/>
  <c r="X49"/>
  <c r="V49"/>
  <c r="Q49"/>
  <c r="O49"/>
  <c r="AG48"/>
  <c r="AB48"/>
  <c r="Z48"/>
  <c r="X48"/>
  <c r="V48"/>
  <c r="Q48"/>
  <c r="O48"/>
  <c r="AG47"/>
  <c r="AB47"/>
  <c r="Z47"/>
  <c r="X47"/>
  <c r="V47"/>
  <c r="Q47"/>
  <c r="O47"/>
  <c r="AG46"/>
  <c r="AB46"/>
  <c r="Z46"/>
  <c r="X46"/>
  <c r="V46"/>
  <c r="Q46"/>
  <c r="O46"/>
  <c r="AG45"/>
  <c r="AB45"/>
  <c r="Z45"/>
  <c r="X45"/>
  <c r="V45"/>
  <c r="Q45"/>
  <c r="O45"/>
  <c r="AG44"/>
  <c r="AB44"/>
  <c r="Z44"/>
  <c r="X44"/>
  <c r="V44"/>
  <c r="Q44"/>
  <c r="O44"/>
  <c r="AG43"/>
  <c r="AB43"/>
  <c r="Z43"/>
  <c r="X43"/>
  <c r="V43"/>
  <c r="Q43"/>
  <c r="O43"/>
  <c r="AG42"/>
  <c r="AB42"/>
  <c r="Z42"/>
  <c r="X42"/>
  <c r="V42"/>
  <c r="Q42"/>
  <c r="AG41"/>
  <c r="AB41"/>
  <c r="Z41"/>
  <c r="X41"/>
  <c r="V41"/>
  <c r="Q41"/>
  <c r="AG40"/>
  <c r="AB40"/>
  <c r="Z40"/>
  <c r="X40"/>
  <c r="V40"/>
  <c r="Q40"/>
  <c r="AG39"/>
  <c r="AB39"/>
  <c r="Z39"/>
  <c r="X39"/>
  <c r="V39"/>
  <c r="Q39"/>
  <c r="AG38"/>
  <c r="AB38"/>
  <c r="Z38"/>
  <c r="X38"/>
  <c r="V38"/>
  <c r="Q38"/>
  <c r="AG37"/>
  <c r="AB37"/>
  <c r="Z37"/>
  <c r="X37"/>
  <c r="V37"/>
  <c r="Q37"/>
  <c r="AG36"/>
  <c r="AB36"/>
  <c r="Z36"/>
  <c r="X36"/>
  <c r="V36"/>
  <c r="Q36"/>
  <c r="AG35"/>
  <c r="AB35"/>
  <c r="Z35"/>
  <c r="X35"/>
  <c r="V35"/>
  <c r="Q35"/>
  <c r="AG34"/>
  <c r="AB34"/>
  <c r="Z34"/>
  <c r="X34"/>
  <c r="V34"/>
  <c r="Q34"/>
  <c r="AG33"/>
  <c r="AB33"/>
  <c r="Z33"/>
  <c r="X33"/>
  <c r="V33"/>
  <c r="Q33"/>
  <c r="AG32"/>
  <c r="AB32"/>
  <c r="Z32"/>
  <c r="X32"/>
  <c r="V32"/>
  <c r="Q32"/>
  <c r="AG31"/>
  <c r="AB31"/>
  <c r="Q31"/>
  <c r="AG30"/>
  <c r="AB30"/>
  <c r="Z30"/>
  <c r="X30"/>
  <c r="V30"/>
  <c r="Q30"/>
  <c r="AG29"/>
  <c r="AB29"/>
  <c r="Z29"/>
  <c r="X29"/>
  <c r="V29"/>
  <c r="Q29"/>
  <c r="AG28"/>
  <c r="AB28"/>
  <c r="Z28"/>
  <c r="X28"/>
  <c r="V28"/>
  <c r="Q28"/>
  <c r="AG27"/>
  <c r="AB27"/>
  <c r="Z27"/>
  <c r="X27"/>
  <c r="V27"/>
  <c r="Q27"/>
  <c r="AG26"/>
  <c r="AB26"/>
  <c r="Z26"/>
  <c r="X26"/>
  <c r="V26"/>
  <c r="Q26"/>
  <c r="AG25"/>
  <c r="AB25"/>
  <c r="Z25"/>
  <c r="X25"/>
  <c r="V25"/>
  <c r="Q25"/>
  <c r="AG24"/>
  <c r="AB24"/>
  <c r="Z24"/>
  <c r="X24"/>
  <c r="V24"/>
  <c r="Q24"/>
  <c r="AG23"/>
  <c r="AB23"/>
  <c r="Z23"/>
  <c r="X23"/>
  <c r="V23"/>
  <c r="Q23"/>
  <c r="AG22"/>
  <c r="AB22"/>
  <c r="Z22"/>
  <c r="X22"/>
  <c r="V22"/>
  <c r="Q22"/>
  <c r="AL21"/>
  <c r="AH21"/>
  <c r="AF21"/>
  <c r="AD21"/>
  <c r="AC21"/>
  <c r="AA21"/>
  <c r="Y21"/>
  <c r="W21"/>
  <c r="U21"/>
  <c r="P21"/>
  <c r="F12" s="1"/>
  <c r="N21"/>
  <c r="E12" s="1"/>
  <c r="L21"/>
  <c r="D12" s="1"/>
  <c r="G14"/>
  <c r="G13"/>
  <c r="X21" l="1"/>
  <c r="Q21"/>
  <c r="AB21"/>
  <c r="R31"/>
  <c r="S31" s="1"/>
  <c r="R32"/>
  <c r="S32" s="1"/>
  <c r="R38"/>
  <c r="S38" s="1"/>
  <c r="R77"/>
  <c r="S77" s="1"/>
  <c r="AI77" s="1"/>
  <c r="R54"/>
  <c r="S54" s="1"/>
  <c r="R78"/>
  <c r="S78" s="1"/>
  <c r="R80"/>
  <c r="S80" s="1"/>
  <c r="R82"/>
  <c r="S82" s="1"/>
  <c r="R89"/>
  <c r="S89" s="1"/>
  <c r="R24"/>
  <c r="S24" s="1"/>
  <c r="R96"/>
  <c r="S96" s="1"/>
  <c r="AE96" s="1"/>
  <c r="R39"/>
  <c r="S39" s="1"/>
  <c r="T39" s="1"/>
  <c r="R51"/>
  <c r="S51" s="1"/>
  <c r="T51" s="1"/>
  <c r="R59"/>
  <c r="S59" s="1"/>
  <c r="R63"/>
  <c r="R56"/>
  <c r="S56" s="1"/>
  <c r="R58"/>
  <c r="S58" s="1"/>
  <c r="R90"/>
  <c r="S90" s="1"/>
  <c r="R91"/>
  <c r="S91" s="1"/>
  <c r="AI91" s="1"/>
  <c r="R93"/>
  <c r="S93" s="1"/>
  <c r="R97"/>
  <c r="S97" s="1"/>
  <c r="G12"/>
  <c r="AG21"/>
  <c r="R29"/>
  <c r="R40"/>
  <c r="S40" s="1"/>
  <c r="R45"/>
  <c r="S45" s="1"/>
  <c r="R67"/>
  <c r="S67" s="1"/>
  <c r="R87"/>
  <c r="S87" s="1"/>
  <c r="AJ87" s="1"/>
  <c r="R92"/>
  <c r="S92" s="1"/>
  <c r="AE92" s="1"/>
  <c r="V21"/>
  <c r="R27"/>
  <c r="S27" s="1"/>
  <c r="S29"/>
  <c r="T29" s="1"/>
  <c r="R35"/>
  <c r="S35" s="1"/>
  <c r="R37"/>
  <c r="S37" s="1"/>
  <c r="R48"/>
  <c r="S48" s="1"/>
  <c r="R52"/>
  <c r="S52" s="1"/>
  <c r="R55"/>
  <c r="S55" s="1"/>
  <c r="R61"/>
  <c r="S61" s="1"/>
  <c r="S63"/>
  <c r="AE63" s="1"/>
  <c r="R64"/>
  <c r="S64" s="1"/>
  <c r="R69"/>
  <c r="S69" s="1"/>
  <c r="R72"/>
  <c r="S72" s="1"/>
  <c r="R74"/>
  <c r="S74" s="1"/>
  <c r="R76"/>
  <c r="S76" s="1"/>
  <c r="R81"/>
  <c r="S81" s="1"/>
  <c r="R86"/>
  <c r="S86" s="1"/>
  <c r="R88"/>
  <c r="S88" s="1"/>
  <c r="R95"/>
  <c r="S95" s="1"/>
  <c r="R23"/>
  <c r="S23" s="1"/>
  <c r="R57"/>
  <c r="S57" s="1"/>
  <c r="R66"/>
  <c r="S66" s="1"/>
  <c r="R68"/>
  <c r="S68" s="1"/>
  <c r="R79"/>
  <c r="S79" s="1"/>
  <c r="K21"/>
  <c r="R25"/>
  <c r="S25" s="1"/>
  <c r="R28"/>
  <c r="S28" s="1"/>
  <c r="R33"/>
  <c r="S33" s="1"/>
  <c r="AI33" s="1"/>
  <c r="R36"/>
  <c r="S36" s="1"/>
  <c r="R41"/>
  <c r="S41" s="1"/>
  <c r="R43"/>
  <c r="S43" s="1"/>
  <c r="R46"/>
  <c r="S46" s="1"/>
  <c r="R49"/>
  <c r="S49" s="1"/>
  <c r="R53"/>
  <c r="S53" s="1"/>
  <c r="R60"/>
  <c r="S60" s="1"/>
  <c r="AJ60" s="1"/>
  <c r="R62"/>
  <c r="S62" s="1"/>
  <c r="R65"/>
  <c r="S65" s="1"/>
  <c r="R70"/>
  <c r="S70" s="1"/>
  <c r="R71"/>
  <c r="S71" s="1"/>
  <c r="R73"/>
  <c r="S73" s="1"/>
  <c r="AJ73" s="1"/>
  <c r="R75"/>
  <c r="S75" s="1"/>
  <c r="R84"/>
  <c r="S84" s="1"/>
  <c r="R85"/>
  <c r="S85" s="1"/>
  <c r="AK85" s="1"/>
  <c r="R94"/>
  <c r="S94" s="1"/>
  <c r="R50"/>
  <c r="S50" s="1"/>
  <c r="AJ50" s="1"/>
  <c r="R47"/>
  <c r="S47" s="1"/>
  <c r="AJ47" s="1"/>
  <c r="Z21"/>
  <c r="R44"/>
  <c r="S44" s="1"/>
  <c r="M21"/>
  <c r="O21"/>
  <c r="R42"/>
  <c r="S42" s="1"/>
  <c r="R22"/>
  <c r="S22" s="1"/>
  <c r="R26"/>
  <c r="S26" s="1"/>
  <c r="R30"/>
  <c r="S30" s="1"/>
  <c r="R34"/>
  <c r="S34" s="1"/>
  <c r="AJ29" l="1"/>
  <c r="AE29"/>
  <c r="AE39"/>
  <c r="AI39"/>
  <c r="AE77"/>
  <c r="T38"/>
  <c r="AE38"/>
  <c r="AJ63"/>
  <c r="T32"/>
  <c r="AE32"/>
  <c r="T87"/>
  <c r="T40"/>
  <c r="AE40"/>
  <c r="AE58"/>
  <c r="AI58"/>
  <c r="AE89"/>
  <c r="AJ89"/>
  <c r="AE54"/>
  <c r="AK54"/>
  <c r="AI51"/>
  <c r="AK96"/>
  <c r="T77"/>
  <c r="T96"/>
  <c r="T89"/>
  <c r="AE87"/>
  <c r="AE51"/>
  <c r="T63"/>
  <c r="AE84"/>
  <c r="T84"/>
  <c r="AK84"/>
  <c r="T46"/>
  <c r="AI46"/>
  <c r="AE46"/>
  <c r="AE69"/>
  <c r="AI69"/>
  <c r="T69"/>
  <c r="AE25"/>
  <c r="T25"/>
  <c r="AK25"/>
  <c r="T92"/>
  <c r="AM92" s="1"/>
  <c r="AN92" s="1"/>
  <c r="AK40"/>
  <c r="T58"/>
  <c r="T54"/>
  <c r="AE33"/>
  <c r="T33"/>
  <c r="AE50"/>
  <c r="T50"/>
  <c r="AJ30"/>
  <c r="T30"/>
  <c r="AE30"/>
  <c r="AJ34"/>
  <c r="T34"/>
  <c r="AE34"/>
  <c r="AJ26"/>
  <c r="T26"/>
  <c r="AE26"/>
  <c r="AE90"/>
  <c r="T90"/>
  <c r="T66"/>
  <c r="AE66"/>
  <c r="AK35"/>
  <c r="T35"/>
  <c r="AE35"/>
  <c r="AE72"/>
  <c r="T72"/>
  <c r="AE43"/>
  <c r="T43"/>
  <c r="AE24"/>
  <c r="AJ24"/>
  <c r="T24"/>
  <c r="T82"/>
  <c r="AE82"/>
  <c r="AJ82"/>
  <c r="AJ65"/>
  <c r="T65"/>
  <c r="AE65"/>
  <c r="AJ70"/>
  <c r="T70"/>
  <c r="AE70"/>
  <c r="AK97"/>
  <c r="T97"/>
  <c r="AE97"/>
  <c r="AJ67"/>
  <c r="T67"/>
  <c r="AE67"/>
  <c r="T41"/>
  <c r="AE41"/>
  <c r="AE73"/>
  <c r="T73"/>
  <c r="AE44"/>
  <c r="T44"/>
  <c r="T88"/>
  <c r="AE88"/>
  <c r="AK88"/>
  <c r="AI22"/>
  <c r="S21"/>
  <c r="T22"/>
  <c r="AE22"/>
  <c r="AJ71"/>
  <c r="T71"/>
  <c r="AE71"/>
  <c r="AI42"/>
  <c r="T42"/>
  <c r="AE42"/>
  <c r="AE74"/>
  <c r="T74"/>
  <c r="AE45"/>
  <c r="AI45"/>
  <c r="T45"/>
  <c r="AE36"/>
  <c r="T36"/>
  <c r="T94"/>
  <c r="AE94"/>
  <c r="AJ55"/>
  <c r="T55"/>
  <c r="AE55"/>
  <c r="T79"/>
  <c r="AE79"/>
  <c r="AJ52"/>
  <c r="T52"/>
  <c r="AE52"/>
  <c r="AE91"/>
  <c r="T91"/>
  <c r="AE53"/>
  <c r="AJ53"/>
  <c r="T53"/>
  <c r="AE81"/>
  <c r="AJ81"/>
  <c r="T81"/>
  <c r="AK80"/>
  <c r="T80"/>
  <c r="AE80"/>
  <c r="AJ56"/>
  <c r="T56"/>
  <c r="AE56"/>
  <c r="AJ23"/>
  <c r="T23"/>
  <c r="AE23"/>
  <c r="AE57"/>
  <c r="AJ57"/>
  <c r="T57"/>
  <c r="AE28"/>
  <c r="AK28"/>
  <c r="T28"/>
  <c r="AE93"/>
  <c r="AI93"/>
  <c r="T93"/>
  <c r="T85"/>
  <c r="AE85"/>
  <c r="T60"/>
  <c r="AE60"/>
  <c r="AK27"/>
  <c r="T27"/>
  <c r="AE27"/>
  <c r="AE62"/>
  <c r="AK62"/>
  <c r="T62"/>
  <c r="AI86"/>
  <c r="T86"/>
  <c r="AE86"/>
  <c r="T78"/>
  <c r="AE78"/>
  <c r="AI61"/>
  <c r="T61"/>
  <c r="AE61"/>
  <c r="AJ48"/>
  <c r="T48"/>
  <c r="AE48"/>
  <c r="AE31"/>
  <c r="AI31"/>
  <c r="T31"/>
  <c r="AE75"/>
  <c r="AI75"/>
  <c r="T75"/>
  <c r="AE68"/>
  <c r="AI68"/>
  <c r="T68"/>
  <c r="AE49"/>
  <c r="AJ49"/>
  <c r="T49"/>
  <c r="AE37"/>
  <c r="AJ37"/>
  <c r="T37"/>
  <c r="T95"/>
  <c r="AE95"/>
  <c r="AK95"/>
  <c r="T76"/>
  <c r="AE76"/>
  <c r="AK76"/>
  <c r="T64"/>
  <c r="AE64"/>
  <c r="T47"/>
  <c r="AE47"/>
  <c r="AJ59"/>
  <c r="T59"/>
  <c r="AE59"/>
  <c r="R21"/>
  <c r="AM29" l="1"/>
  <c r="AN29" s="1"/>
  <c r="AM89"/>
  <c r="AN89" s="1"/>
  <c r="AM96"/>
  <c r="AN96" s="1"/>
  <c r="AM40"/>
  <c r="AN40" s="1"/>
  <c r="AM38"/>
  <c r="AN38" s="1"/>
  <c r="AM39"/>
  <c r="AN39" s="1"/>
  <c r="AM77"/>
  <c r="AN77" s="1"/>
  <c r="AM66"/>
  <c r="AN66" s="1"/>
  <c r="AM32"/>
  <c r="AN32" s="1"/>
  <c r="AM78"/>
  <c r="AN78" s="1"/>
  <c r="AM90"/>
  <c r="AN90" s="1"/>
  <c r="AM63"/>
  <c r="AN63" s="1"/>
  <c r="AM87"/>
  <c r="AN87" s="1"/>
  <c r="AM58"/>
  <c r="AN58" s="1"/>
  <c r="AM79"/>
  <c r="AN79" s="1"/>
  <c r="AM36"/>
  <c r="AN36" s="1"/>
  <c r="AM94"/>
  <c r="AN94" s="1"/>
  <c r="AM88"/>
  <c r="AN88" s="1"/>
  <c r="AM73"/>
  <c r="AN73" s="1"/>
  <c r="AM51"/>
  <c r="AN51" s="1"/>
  <c r="AM26"/>
  <c r="AN26" s="1"/>
  <c r="AM54"/>
  <c r="AN54" s="1"/>
  <c r="AM67"/>
  <c r="AN67" s="1"/>
  <c r="AM82"/>
  <c r="AN82" s="1"/>
  <c r="AM47"/>
  <c r="AN47" s="1"/>
  <c r="AM37"/>
  <c r="AN37" s="1"/>
  <c r="AM72"/>
  <c r="AN72" s="1"/>
  <c r="AM30"/>
  <c r="AN30" s="1"/>
  <c r="AM70"/>
  <c r="AN70" s="1"/>
  <c r="AM46"/>
  <c r="AN46" s="1"/>
  <c r="AM84"/>
  <c r="AN84" s="1"/>
  <c r="AM76"/>
  <c r="AN76" s="1"/>
  <c r="AM56"/>
  <c r="AN56" s="1"/>
  <c r="AM59"/>
  <c r="AN59" s="1"/>
  <c r="AM95"/>
  <c r="AN95" s="1"/>
  <c r="AM85"/>
  <c r="AN85" s="1"/>
  <c r="AM57"/>
  <c r="AN57" s="1"/>
  <c r="AM81"/>
  <c r="AN81" s="1"/>
  <c r="AM53"/>
  <c r="AN53" s="1"/>
  <c r="AM71"/>
  <c r="AN71" s="1"/>
  <c r="AM64"/>
  <c r="AN64" s="1"/>
  <c r="AM27"/>
  <c r="AN27" s="1"/>
  <c r="AM93"/>
  <c r="AN93" s="1"/>
  <c r="AM23"/>
  <c r="AN23" s="1"/>
  <c r="AM91"/>
  <c r="AN91" s="1"/>
  <c r="AM74"/>
  <c r="AN74" s="1"/>
  <c r="AM22"/>
  <c r="AN22" s="1"/>
  <c r="AM35"/>
  <c r="AN35" s="1"/>
  <c r="AM49"/>
  <c r="AN49" s="1"/>
  <c r="AM48"/>
  <c r="AN48" s="1"/>
  <c r="AM60"/>
  <c r="AN60" s="1"/>
  <c r="AM28"/>
  <c r="AN28" s="1"/>
  <c r="AM45"/>
  <c r="AN45" s="1"/>
  <c r="AM97"/>
  <c r="AN97" s="1"/>
  <c r="AM24"/>
  <c r="AN24" s="1"/>
  <c r="AM68"/>
  <c r="AN68" s="1"/>
  <c r="AK21"/>
  <c r="AM31"/>
  <c r="AN31" s="1"/>
  <c r="AM61"/>
  <c r="AN61" s="1"/>
  <c r="AM86"/>
  <c r="AN86" s="1"/>
  <c r="AM75"/>
  <c r="AN75" s="1"/>
  <c r="AM62"/>
  <c r="AN62" s="1"/>
  <c r="AM80"/>
  <c r="AN80" s="1"/>
  <c r="AM52"/>
  <c r="AN52" s="1"/>
  <c r="AM55"/>
  <c r="AN55" s="1"/>
  <c r="AM44"/>
  <c r="AN44" s="1"/>
  <c r="AM41"/>
  <c r="AN41" s="1"/>
  <c r="AM65"/>
  <c r="AN65" s="1"/>
  <c r="AM34"/>
  <c r="AN34" s="1"/>
  <c r="AM33"/>
  <c r="AN33" s="1"/>
  <c r="AM69"/>
  <c r="AN69" s="1"/>
  <c r="AM25"/>
  <c r="AN25" s="1"/>
  <c r="AM50"/>
  <c r="AN50" s="1"/>
  <c r="AM43"/>
  <c r="AN43" s="1"/>
  <c r="AM42"/>
  <c r="AN42" s="1"/>
  <c r="T21"/>
  <c r="AJ21"/>
  <c r="AE21"/>
  <c r="AI21"/>
  <c r="K33" i="21"/>
  <c r="K59"/>
  <c r="N59" s="1"/>
  <c r="K56"/>
  <c r="N56" s="1"/>
  <c r="AM21" i="23" l="1"/>
  <c r="AN21"/>
  <c r="M33" i="21"/>
  <c r="N33" s="1"/>
  <c r="Y59"/>
  <c r="Z59" s="1"/>
  <c r="Y56"/>
  <c r="Z56" s="1"/>
  <c r="K44"/>
  <c r="K45"/>
  <c r="K46"/>
  <c r="K47"/>
  <c r="K48"/>
  <c r="K49"/>
  <c r="K50"/>
  <c r="K51"/>
  <c r="K52"/>
  <c r="K53"/>
  <c r="K54"/>
  <c r="N45" l="1"/>
  <c r="Y45" s="1"/>
  <c r="Z45" s="1"/>
  <c r="N48"/>
  <c r="Y48" s="1"/>
  <c r="Z48" s="1"/>
  <c r="N54"/>
  <c r="Y54" s="1"/>
  <c r="Z54" s="1"/>
  <c r="N50"/>
  <c r="Y50" s="1"/>
  <c r="Z50" s="1"/>
  <c r="N46"/>
  <c r="Y46" s="1"/>
  <c r="Z46" s="1"/>
  <c r="N53"/>
  <c r="Y53" s="1"/>
  <c r="Z53" s="1"/>
  <c r="N49"/>
  <c r="Y49" s="1"/>
  <c r="Z49" s="1"/>
  <c r="N52"/>
  <c r="Y52" s="1"/>
  <c r="Z52" s="1"/>
  <c r="N44"/>
  <c r="Y44" s="1"/>
  <c r="Z44" s="1"/>
  <c r="N51"/>
  <c r="Y51" s="1"/>
  <c r="Z51" s="1"/>
  <c r="N47"/>
  <c r="Y47" s="1"/>
  <c r="Z47" s="1"/>
  <c r="Y33"/>
  <c r="Z33" s="1"/>
  <c r="K34"/>
  <c r="M34" l="1"/>
  <c r="U34" s="1"/>
  <c r="U17" s="1"/>
  <c r="N34" l="1"/>
  <c r="Y34" s="1"/>
  <c r="Z34" s="1"/>
  <c r="K30" l="1"/>
  <c r="K35"/>
  <c r="K28"/>
  <c r="K27"/>
  <c r="K25"/>
  <c r="K18"/>
  <c r="K37"/>
  <c r="K38"/>
  <c r="K58"/>
  <c r="K36"/>
  <c r="K31"/>
  <c r="K29"/>
  <c r="K32"/>
  <c r="K26"/>
  <c r="K19"/>
  <c r="K20"/>
  <c r="K21"/>
  <c r="K22"/>
  <c r="K23"/>
  <c r="K41"/>
  <c r="K42"/>
  <c r="K43"/>
  <c r="K55"/>
  <c r="K57"/>
  <c r="U131" i="19"/>
  <c r="Q131"/>
  <c r="L131"/>
  <c r="L133" s="1"/>
  <c r="I131"/>
  <c r="I133" s="1"/>
  <c r="C131"/>
  <c r="C133" s="1"/>
  <c r="M130"/>
  <c r="H130"/>
  <c r="J130" s="1"/>
  <c r="K130" s="1"/>
  <c r="N129"/>
  <c r="H129"/>
  <c r="J129" s="1"/>
  <c r="K129" s="1"/>
  <c r="H128"/>
  <c r="J128" s="1"/>
  <c r="K128" s="1"/>
  <c r="H127"/>
  <c r="J127" s="1"/>
  <c r="K127" s="1"/>
  <c r="W127" s="1"/>
  <c r="X127" s="1"/>
  <c r="H126"/>
  <c r="J126" s="1"/>
  <c r="K126" s="1"/>
  <c r="W126" s="1"/>
  <c r="X126" s="1"/>
  <c r="H125"/>
  <c r="J125" s="1"/>
  <c r="K125" s="1"/>
  <c r="H124"/>
  <c r="J124" s="1"/>
  <c r="K124" s="1"/>
  <c r="H123"/>
  <c r="J123" s="1"/>
  <c r="H122"/>
  <c r="J122" s="1"/>
  <c r="K122" s="1"/>
  <c r="H121"/>
  <c r="J121" s="1"/>
  <c r="H120"/>
  <c r="J120" s="1"/>
  <c r="P120" s="1"/>
  <c r="H119"/>
  <c r="J119" s="1"/>
  <c r="P119" s="1"/>
  <c r="H118"/>
  <c r="J118" s="1"/>
  <c r="K118" s="1"/>
  <c r="H117"/>
  <c r="J117" s="1"/>
  <c r="K117" s="1"/>
  <c r="M116"/>
  <c r="H116"/>
  <c r="J116" s="1"/>
  <c r="K116" s="1"/>
  <c r="M115"/>
  <c r="H115"/>
  <c r="J115" s="1"/>
  <c r="H114"/>
  <c r="J114" s="1"/>
  <c r="H113"/>
  <c r="J113" s="1"/>
  <c r="K113" s="1"/>
  <c r="H112"/>
  <c r="J112" s="1"/>
  <c r="K112" s="1"/>
  <c r="H111"/>
  <c r="J111" s="1"/>
  <c r="K111" s="1"/>
  <c r="W111" s="1"/>
  <c r="X111" s="1"/>
  <c r="H110"/>
  <c r="J110" s="1"/>
  <c r="K110" s="1"/>
  <c r="M109"/>
  <c r="H109"/>
  <c r="J109" s="1"/>
  <c r="M108"/>
  <c r="H108"/>
  <c r="J108" s="1"/>
  <c r="K108" s="1"/>
  <c r="M107"/>
  <c r="H107"/>
  <c r="J107" s="1"/>
  <c r="M106"/>
  <c r="H106"/>
  <c r="J106" s="1"/>
  <c r="K106" s="1"/>
  <c r="M105"/>
  <c r="H105"/>
  <c r="J105" s="1"/>
  <c r="M104"/>
  <c r="H104"/>
  <c r="J104" s="1"/>
  <c r="M103"/>
  <c r="H103"/>
  <c r="J103" s="1"/>
  <c r="K103" s="1"/>
  <c r="M102"/>
  <c r="H102"/>
  <c r="J102" s="1"/>
  <c r="K102" s="1"/>
  <c r="M101"/>
  <c r="H101"/>
  <c r="J101" s="1"/>
  <c r="K101" s="1"/>
  <c r="M100"/>
  <c r="H100"/>
  <c r="J100" s="1"/>
  <c r="K100" s="1"/>
  <c r="M99"/>
  <c r="H99"/>
  <c r="J99" s="1"/>
  <c r="K99" s="1"/>
  <c r="M98"/>
  <c r="H98"/>
  <c r="J98" s="1"/>
  <c r="K98" s="1"/>
  <c r="M97"/>
  <c r="H97"/>
  <c r="J97" s="1"/>
  <c r="K97" s="1"/>
  <c r="M96"/>
  <c r="H96"/>
  <c r="J96" s="1"/>
  <c r="H95"/>
  <c r="J95" s="1"/>
  <c r="H94"/>
  <c r="J94" s="1"/>
  <c r="K94" s="1"/>
  <c r="W94" s="1"/>
  <c r="X94" s="1"/>
  <c r="H93"/>
  <c r="J93" s="1"/>
  <c r="K93" s="1"/>
  <c r="W93" s="1"/>
  <c r="X93" s="1"/>
  <c r="M92"/>
  <c r="H92"/>
  <c r="J92" s="1"/>
  <c r="K92" s="1"/>
  <c r="H91"/>
  <c r="J91" s="1"/>
  <c r="K91" s="1"/>
  <c r="H90"/>
  <c r="J90" s="1"/>
  <c r="K90" s="1"/>
  <c r="M89"/>
  <c r="H89"/>
  <c r="J89" s="1"/>
  <c r="M88"/>
  <c r="H88"/>
  <c r="J88" s="1"/>
  <c r="K88" s="1"/>
  <c r="H87"/>
  <c r="J87" s="1"/>
  <c r="H86"/>
  <c r="J86" s="1"/>
  <c r="P86" s="1"/>
  <c r="H85"/>
  <c r="J85" s="1"/>
  <c r="K85" s="1"/>
  <c r="H84"/>
  <c r="J84" s="1"/>
  <c r="P84" s="1"/>
  <c r="H83"/>
  <c r="J83" s="1"/>
  <c r="K83" s="1"/>
  <c r="H82"/>
  <c r="J82" s="1"/>
  <c r="K82" s="1"/>
  <c r="H81"/>
  <c r="J81" s="1"/>
  <c r="K81" s="1"/>
  <c r="H80"/>
  <c r="J80" s="1"/>
  <c r="K80" s="1"/>
  <c r="H79"/>
  <c r="J79" s="1"/>
  <c r="K79" s="1"/>
  <c r="H78"/>
  <c r="J78" s="1"/>
  <c r="O78" s="1"/>
  <c r="H77"/>
  <c r="J77" s="1"/>
  <c r="K77" s="1"/>
  <c r="H76"/>
  <c r="J76" s="1"/>
  <c r="O76" s="1"/>
  <c r="H75"/>
  <c r="J75" s="1"/>
  <c r="O75" s="1"/>
  <c r="H74"/>
  <c r="R74" s="1"/>
  <c r="R131" s="1"/>
  <c r="H73"/>
  <c r="S73" s="1"/>
  <c r="H72"/>
  <c r="J72" s="1"/>
  <c r="K72" s="1"/>
  <c r="H71"/>
  <c r="J71" s="1"/>
  <c r="K71" s="1"/>
  <c r="H70"/>
  <c r="S70" s="1"/>
  <c r="H69"/>
  <c r="J69" s="1"/>
  <c r="T69" s="1"/>
  <c r="H68"/>
  <c r="J68" s="1"/>
  <c r="K68" s="1"/>
  <c r="W68" s="1"/>
  <c r="X68" s="1"/>
  <c r="H67"/>
  <c r="J67" s="1"/>
  <c r="H66"/>
  <c r="J66" s="1"/>
  <c r="K66" s="1"/>
  <c r="W66" s="1"/>
  <c r="X66" s="1"/>
  <c r="H65"/>
  <c r="S65" s="1"/>
  <c r="H64"/>
  <c r="J64" s="1"/>
  <c r="H63"/>
  <c r="J63" s="1"/>
  <c r="K63" s="1"/>
  <c r="W63" s="1"/>
  <c r="X63" s="1"/>
  <c r="H62"/>
  <c r="J62" s="1"/>
  <c r="H61"/>
  <c r="H60"/>
  <c r="J60" s="1"/>
  <c r="K60" s="1"/>
  <c r="H59"/>
  <c r="J59" s="1"/>
  <c r="K59" s="1"/>
  <c r="H58"/>
  <c r="J58" s="1"/>
  <c r="K58" s="1"/>
  <c r="H57"/>
  <c r="J57" s="1"/>
  <c r="H56"/>
  <c r="J56" s="1"/>
  <c r="K56" s="1"/>
  <c r="H55"/>
  <c r="J55" s="1"/>
  <c r="H54"/>
  <c r="J54" s="1"/>
  <c r="K54" s="1"/>
  <c r="H53"/>
  <c r="J53" s="1"/>
  <c r="K53" s="1"/>
  <c r="H52"/>
  <c r="J52" s="1"/>
  <c r="K52" s="1"/>
  <c r="H51"/>
  <c r="J51" s="1"/>
  <c r="T51" s="1"/>
  <c r="H50"/>
  <c r="J50" s="1"/>
  <c r="K50" s="1"/>
  <c r="W50" s="1"/>
  <c r="X50" s="1"/>
  <c r="H49"/>
  <c r="J49" s="1"/>
  <c r="H48"/>
  <c r="J48" s="1"/>
  <c r="K48" s="1"/>
  <c r="H47"/>
  <c r="J47" s="1"/>
  <c r="K47" s="1"/>
  <c r="H46"/>
  <c r="J46" s="1"/>
  <c r="K46" s="1"/>
  <c r="W46" s="1"/>
  <c r="X46" s="1"/>
  <c r="H45"/>
  <c r="J45" s="1"/>
  <c r="K45" s="1"/>
  <c r="H44"/>
  <c r="J44" s="1"/>
  <c r="K44" s="1"/>
  <c r="H43"/>
  <c r="J43" s="1"/>
  <c r="K43" s="1"/>
  <c r="W43" s="1"/>
  <c r="X43" s="1"/>
  <c r="H42"/>
  <c r="J42" s="1"/>
  <c r="K42" s="1"/>
  <c r="H41"/>
  <c r="J41" s="1"/>
  <c r="K41" s="1"/>
  <c r="M40"/>
  <c r="H40"/>
  <c r="J40" s="1"/>
  <c r="K40" s="1"/>
  <c r="H39"/>
  <c r="J39" s="1"/>
  <c r="K39" s="1"/>
  <c r="H38"/>
  <c r="J38" s="1"/>
  <c r="H37"/>
  <c r="J37" s="1"/>
  <c r="K37" s="1"/>
  <c r="W37" s="1"/>
  <c r="X37" s="1"/>
  <c r="H36"/>
  <c r="J36" s="1"/>
  <c r="K36" s="1"/>
  <c r="W36" s="1"/>
  <c r="X36" s="1"/>
  <c r="H35"/>
  <c r="J35" s="1"/>
  <c r="K35" s="1"/>
  <c r="H34"/>
  <c r="J34" s="1"/>
  <c r="K34" s="1"/>
  <c r="H33"/>
  <c r="J33" s="1"/>
  <c r="K33" s="1"/>
  <c r="W33" s="1"/>
  <c r="X33" s="1"/>
  <c r="H32"/>
  <c r="J32" s="1"/>
  <c r="K32" s="1"/>
  <c r="H31"/>
  <c r="J31" s="1"/>
  <c r="H30"/>
  <c r="J30" s="1"/>
  <c r="K30" s="1"/>
  <c r="H29"/>
  <c r="J29" s="1"/>
  <c r="K29" s="1"/>
  <c r="W29" s="1"/>
  <c r="X29" s="1"/>
  <c r="H28"/>
  <c r="J28" s="1"/>
  <c r="K28" s="1"/>
  <c r="W28" s="1"/>
  <c r="X28" s="1"/>
  <c r="H27"/>
  <c r="J27" s="1"/>
  <c r="H26"/>
  <c r="J26" s="1"/>
  <c r="K26" s="1"/>
  <c r="H25"/>
  <c r="J25" s="1"/>
  <c r="K25" s="1"/>
  <c r="W25" s="1"/>
  <c r="X25" s="1"/>
  <c r="H24"/>
  <c r="J24" s="1"/>
  <c r="K24" s="1"/>
  <c r="W24" s="1"/>
  <c r="X24" s="1"/>
  <c r="H23"/>
  <c r="J23" s="1"/>
  <c r="K23" s="1"/>
  <c r="H22"/>
  <c r="J22" s="1"/>
  <c r="H21"/>
  <c r="J21" s="1"/>
  <c r="K21" s="1"/>
  <c r="W21" s="1"/>
  <c r="X21" s="1"/>
  <c r="H20"/>
  <c r="J20" s="1"/>
  <c r="K20" s="1"/>
  <c r="W20" s="1"/>
  <c r="X20" s="1"/>
  <c r="H19"/>
  <c r="J19" s="1"/>
  <c r="K19" s="1"/>
  <c r="W19" s="1"/>
  <c r="X19" s="1"/>
  <c r="H18"/>
  <c r="J18" s="1"/>
  <c r="K18" s="1"/>
  <c r="H17"/>
  <c r="J17" s="1"/>
  <c r="K17" s="1"/>
  <c r="H16"/>
  <c r="J16" s="1"/>
  <c r="K16" s="1"/>
  <c r="H15"/>
  <c r="J15" s="1"/>
  <c r="K15" s="1"/>
  <c r="H14"/>
  <c r="J14" s="1"/>
  <c r="H13"/>
  <c r="J13" s="1"/>
  <c r="H12"/>
  <c r="J12" s="1"/>
  <c r="Q117" i="2"/>
  <c r="L117"/>
  <c r="N117" s="1"/>
  <c r="O117" s="1"/>
  <c r="M23" i="18"/>
  <c r="AN23" s="1"/>
  <c r="M25"/>
  <c r="AN25" s="1"/>
  <c r="M27"/>
  <c r="AN27" s="1"/>
  <c r="M29"/>
  <c r="AN29" s="1"/>
  <c r="M31"/>
  <c r="AN31" s="1"/>
  <c r="M33"/>
  <c r="AN33" s="1"/>
  <c r="M35"/>
  <c r="AN35" s="1"/>
  <c r="M37"/>
  <c r="AN37" s="1"/>
  <c r="M39"/>
  <c r="AN39" s="1"/>
  <c r="M41"/>
  <c r="AN41" s="1"/>
  <c r="M43"/>
  <c r="AN43" s="1"/>
  <c r="M45"/>
  <c r="AN45" s="1"/>
  <c r="M47"/>
  <c r="AN47" s="1"/>
  <c r="M49"/>
  <c r="AN49" s="1"/>
  <c r="M51"/>
  <c r="AN51" s="1"/>
  <c r="M53"/>
  <c r="AN53" s="1"/>
  <c r="M55"/>
  <c r="AN55" s="1"/>
  <c r="M57"/>
  <c r="AN57" s="1"/>
  <c r="M59"/>
  <c r="AN59" s="1"/>
  <c r="M61"/>
  <c r="AN61" s="1"/>
  <c r="M63"/>
  <c r="AN63" s="1"/>
  <c r="M65"/>
  <c r="AN65" s="1"/>
  <c r="M67"/>
  <c r="AN67" s="1"/>
  <c r="M69"/>
  <c r="AN69" s="1"/>
  <c r="M71"/>
  <c r="AN71" s="1"/>
  <c r="M73"/>
  <c r="AN73" s="1"/>
  <c r="M75"/>
  <c r="AN75" s="1"/>
  <c r="M77"/>
  <c r="AN77" s="1"/>
  <c r="M79"/>
  <c r="AN79" s="1"/>
  <c r="M81"/>
  <c r="AN81" s="1"/>
  <c r="M83"/>
  <c r="AN83" s="1"/>
  <c r="M85"/>
  <c r="AN85" s="1"/>
  <c r="M87"/>
  <c r="AN87" s="1"/>
  <c r="Q90" i="2"/>
  <c r="Q89"/>
  <c r="AF69" i="18"/>
  <c r="AF52"/>
  <c r="AF48"/>
  <c r="AF46"/>
  <c r="AF44"/>
  <c r="AF42"/>
  <c r="AF41"/>
  <c r="AE24"/>
  <c r="AE31"/>
  <c r="AE32"/>
  <c r="AE36"/>
  <c r="AE37"/>
  <c r="AE38"/>
  <c r="AE43"/>
  <c r="AE44"/>
  <c r="AE45"/>
  <c r="AE46"/>
  <c r="AE49"/>
  <c r="AE50"/>
  <c r="AE51"/>
  <c r="AE52"/>
  <c r="AE53"/>
  <c r="AE56"/>
  <c r="AE61"/>
  <c r="AE62"/>
  <c r="AE64"/>
  <c r="AE68"/>
  <c r="AE69"/>
  <c r="AE70"/>
  <c r="AE71"/>
  <c r="AE72"/>
  <c r="AE74"/>
  <c r="AE75"/>
  <c r="AE76"/>
  <c r="AE77"/>
  <c r="AE78"/>
  <c r="AE79"/>
  <c r="AE80"/>
  <c r="AE81"/>
  <c r="AE82"/>
  <c r="AE83"/>
  <c r="AE84"/>
  <c r="AE87"/>
  <c r="AE88"/>
  <c r="AB84"/>
  <c r="AB71"/>
  <c r="AB53"/>
  <c r="AB50"/>
  <c r="AB46"/>
  <c r="AB44"/>
  <c r="AB38"/>
  <c r="Z25"/>
  <c r="Z26"/>
  <c r="Z27"/>
  <c r="Z28"/>
  <c r="Z29"/>
  <c r="Z30"/>
  <c r="Z31"/>
  <c r="Z32"/>
  <c r="Z33"/>
  <c r="Z34"/>
  <c r="Z36"/>
  <c r="Z37"/>
  <c r="Z40"/>
  <c r="Z44"/>
  <c r="Z45"/>
  <c r="Z47"/>
  <c r="Z48"/>
  <c r="Z49"/>
  <c r="Z50"/>
  <c r="Z51"/>
  <c r="Z52"/>
  <c r="Z53"/>
  <c r="Z56"/>
  <c r="Z61"/>
  <c r="Z64"/>
  <c r="Z68"/>
  <c r="Z72"/>
  <c r="Z76"/>
  <c r="Z79"/>
  <c r="Z88"/>
  <c r="M22"/>
  <c r="AN22" s="1"/>
  <c r="M24"/>
  <c r="AN24" s="1"/>
  <c r="M26"/>
  <c r="AN26" s="1"/>
  <c r="M28"/>
  <c r="AN28" s="1"/>
  <c r="M30"/>
  <c r="AN30" s="1"/>
  <c r="M32"/>
  <c r="AN32" s="1"/>
  <c r="M34"/>
  <c r="AN34" s="1"/>
  <c r="M36"/>
  <c r="AN36" s="1"/>
  <c r="M38"/>
  <c r="AN38" s="1"/>
  <c r="M40"/>
  <c r="AN40" s="1"/>
  <c r="M42"/>
  <c r="AN42" s="1"/>
  <c r="M44"/>
  <c r="AN44" s="1"/>
  <c r="M46"/>
  <c r="AN46" s="1"/>
  <c r="M48"/>
  <c r="AN48" s="1"/>
  <c r="M50"/>
  <c r="AN50" s="1"/>
  <c r="M52"/>
  <c r="AN52" s="1"/>
  <c r="M54"/>
  <c r="AN54" s="1"/>
  <c r="M56"/>
  <c r="AN56" s="1"/>
  <c r="M58"/>
  <c r="AN58" s="1"/>
  <c r="M60"/>
  <c r="AN60" s="1"/>
  <c r="M62"/>
  <c r="AN62" s="1"/>
  <c r="M64"/>
  <c r="AN64" s="1"/>
  <c r="M66"/>
  <c r="AN66" s="1"/>
  <c r="M68"/>
  <c r="AN68" s="1"/>
  <c r="M70"/>
  <c r="AN70" s="1"/>
  <c r="M72"/>
  <c r="AN72" s="1"/>
  <c r="M74"/>
  <c r="AN74" s="1"/>
  <c r="M76"/>
  <c r="AN76" s="1"/>
  <c r="M78"/>
  <c r="AN78" s="1"/>
  <c r="M80"/>
  <c r="AN80" s="1"/>
  <c r="M82"/>
  <c r="AN82" s="1"/>
  <c r="M84"/>
  <c r="AN84" s="1"/>
  <c r="M86"/>
  <c r="AN86" s="1"/>
  <c r="M88"/>
  <c r="AN88" s="1"/>
  <c r="L22"/>
  <c r="O22" s="1"/>
  <c r="S22" s="1"/>
  <c r="T22" s="1"/>
  <c r="L23"/>
  <c r="O23" s="1"/>
  <c r="S23" s="1"/>
  <c r="L24"/>
  <c r="O24" s="1"/>
  <c r="L25"/>
  <c r="O25" s="1"/>
  <c r="S25" s="1"/>
  <c r="T25" s="1"/>
  <c r="L26"/>
  <c r="O26" s="1"/>
  <c r="S26" s="1"/>
  <c r="T26" s="1"/>
  <c r="L27"/>
  <c r="L28"/>
  <c r="O28" s="1"/>
  <c r="S28" s="1"/>
  <c r="T28" s="1"/>
  <c r="L29"/>
  <c r="Q29" s="1"/>
  <c r="L30"/>
  <c r="O30" s="1"/>
  <c r="S30" s="1"/>
  <c r="T30" s="1"/>
  <c r="L31"/>
  <c r="L32"/>
  <c r="O32" s="1"/>
  <c r="S32" s="1"/>
  <c r="L33"/>
  <c r="O33" s="1"/>
  <c r="L34"/>
  <c r="Q34" s="1"/>
  <c r="L35"/>
  <c r="Q35" s="1"/>
  <c r="L36"/>
  <c r="O36" s="1"/>
  <c r="S36" s="1"/>
  <c r="L37"/>
  <c r="O37" s="1"/>
  <c r="S37" s="1"/>
  <c r="AI37" s="1"/>
  <c r="L38"/>
  <c r="O38" s="1"/>
  <c r="S38" s="1"/>
  <c r="L39"/>
  <c r="O39" s="1"/>
  <c r="L40"/>
  <c r="O40" s="1"/>
  <c r="S40" s="1"/>
  <c r="L41"/>
  <c r="L42"/>
  <c r="Q42" s="1"/>
  <c r="S42" s="1"/>
  <c r="AC42" s="1"/>
  <c r="L43"/>
  <c r="Q43" s="1"/>
  <c r="L44"/>
  <c r="Q44" s="1"/>
  <c r="L45"/>
  <c r="Q45" s="1"/>
  <c r="S45" s="1"/>
  <c r="AC45" s="1"/>
  <c r="L46"/>
  <c r="L47"/>
  <c r="O47" s="1"/>
  <c r="S47" s="1"/>
  <c r="T47" s="1"/>
  <c r="L48"/>
  <c r="Q48" s="1"/>
  <c r="S48" s="1"/>
  <c r="L49"/>
  <c r="Q49" s="1"/>
  <c r="L50"/>
  <c r="Q50" s="1"/>
  <c r="L51"/>
  <c r="O51" s="1"/>
  <c r="S51" s="1"/>
  <c r="L52"/>
  <c r="O52" s="1"/>
  <c r="L53"/>
  <c r="Q53" s="1"/>
  <c r="L54"/>
  <c r="O54" s="1"/>
  <c r="S54" s="1"/>
  <c r="L55"/>
  <c r="O55" s="1"/>
  <c r="L56"/>
  <c r="Q56" s="1"/>
  <c r="L57"/>
  <c r="O57" s="1"/>
  <c r="S57" s="1"/>
  <c r="L58"/>
  <c r="Q58" s="1"/>
  <c r="S58" s="1"/>
  <c r="L59"/>
  <c r="O59" s="1"/>
  <c r="S59" s="1"/>
  <c r="T59" s="1"/>
  <c r="L60"/>
  <c r="O60" s="1"/>
  <c r="S60" s="1"/>
  <c r="AH60" s="1"/>
  <c r="L61"/>
  <c r="Q61" s="1"/>
  <c r="S61" s="1"/>
  <c r="AH61" s="1"/>
  <c r="L62"/>
  <c r="Q62" s="1"/>
  <c r="L63"/>
  <c r="Q63" s="1"/>
  <c r="S63" s="1"/>
  <c r="L64"/>
  <c r="O64" s="1"/>
  <c r="L65"/>
  <c r="Q65" s="1"/>
  <c r="S65" s="1"/>
  <c r="L66"/>
  <c r="O66" s="1"/>
  <c r="S66" s="1"/>
  <c r="L67"/>
  <c r="O67" s="1"/>
  <c r="S67" s="1"/>
  <c r="L68"/>
  <c r="O68" s="1"/>
  <c r="S68" s="1"/>
  <c r="L69"/>
  <c r="O69" s="1"/>
  <c r="S69" s="1"/>
  <c r="AG69" s="1"/>
  <c r="L70"/>
  <c r="Q70" s="1"/>
  <c r="S70" s="1"/>
  <c r="T70" s="1"/>
  <c r="L71"/>
  <c r="O71" s="1"/>
  <c r="L72"/>
  <c r="O72" s="1"/>
  <c r="AG72" s="1"/>
  <c r="L73"/>
  <c r="O73" s="1"/>
  <c r="S73" s="1"/>
  <c r="L74"/>
  <c r="O74" s="1"/>
  <c r="S74" s="1"/>
  <c r="L75"/>
  <c r="O75" s="1"/>
  <c r="S75" s="1"/>
  <c r="T75" s="1"/>
  <c r="L76"/>
  <c r="O76" s="1"/>
  <c r="S76" s="1"/>
  <c r="AH76" s="1"/>
  <c r="L77"/>
  <c r="O77" s="1"/>
  <c r="S77" s="1"/>
  <c r="L78"/>
  <c r="O78" s="1"/>
  <c r="AG78" s="1"/>
  <c r="L79"/>
  <c r="O79" s="1"/>
  <c r="S79" s="1"/>
  <c r="L80"/>
  <c r="O80" s="1"/>
  <c r="S80" s="1"/>
  <c r="L81"/>
  <c r="O81" s="1"/>
  <c r="S81" s="1"/>
  <c r="L82"/>
  <c r="O82" s="1"/>
  <c r="S82" s="1"/>
  <c r="T82" s="1"/>
  <c r="L83"/>
  <c r="O83" s="1"/>
  <c r="S83" s="1"/>
  <c r="T83" s="1"/>
  <c r="L84"/>
  <c r="O84" s="1"/>
  <c r="S84" s="1"/>
  <c r="L85"/>
  <c r="O85" s="1"/>
  <c r="S85" s="1"/>
  <c r="L86"/>
  <c r="O86" s="1"/>
  <c r="S86" s="1"/>
  <c r="L87"/>
  <c r="O87" s="1"/>
  <c r="L88"/>
  <c r="Q88" s="1"/>
  <c r="Q131" i="2"/>
  <c r="Q116"/>
  <c r="Q108"/>
  <c r="Q109"/>
  <c r="Q110"/>
  <c r="Q107"/>
  <c r="Q105"/>
  <c r="Q106"/>
  <c r="Q98"/>
  <c r="Q99"/>
  <c r="Q100"/>
  <c r="Q101"/>
  <c r="Q102"/>
  <c r="Q103"/>
  <c r="Q104"/>
  <c r="Q97"/>
  <c r="L14"/>
  <c r="N14" s="1"/>
  <c r="O14" s="1"/>
  <c r="L15"/>
  <c r="N15" s="1"/>
  <c r="Z15" s="1"/>
  <c r="L16"/>
  <c r="N16" s="1"/>
  <c r="O16" s="1"/>
  <c r="AA16" s="1"/>
  <c r="AB16" s="1"/>
  <c r="L17"/>
  <c r="N17" s="1"/>
  <c r="Z17" s="1"/>
  <c r="L18"/>
  <c r="N18" s="1"/>
  <c r="Z18" s="1"/>
  <c r="L19"/>
  <c r="N19" s="1"/>
  <c r="L20"/>
  <c r="L21"/>
  <c r="N21" s="1"/>
  <c r="O21" s="1"/>
  <c r="AA21" s="1"/>
  <c r="AB21" s="1"/>
  <c r="L22"/>
  <c r="N22" s="1"/>
  <c r="L23"/>
  <c r="N23" s="1"/>
  <c r="L24"/>
  <c r="N24" s="1"/>
  <c r="L25"/>
  <c r="N25" s="1"/>
  <c r="L26"/>
  <c r="N26" s="1"/>
  <c r="O26" s="1"/>
  <c r="AA26" s="1"/>
  <c r="AB26" s="1"/>
  <c r="L27"/>
  <c r="N27" s="1"/>
  <c r="O27" s="1"/>
  <c r="L28"/>
  <c r="N28" s="1"/>
  <c r="O28" s="1"/>
  <c r="AA28" s="1"/>
  <c r="AB28" s="1"/>
  <c r="L29"/>
  <c r="N29" s="1"/>
  <c r="L30"/>
  <c r="N30" s="1"/>
  <c r="O30" s="1"/>
  <c r="AA30" s="1"/>
  <c r="AB30" s="1"/>
  <c r="L31"/>
  <c r="N31" s="1"/>
  <c r="L32"/>
  <c r="N32" s="1"/>
  <c r="O32" s="1"/>
  <c r="AA32" s="1"/>
  <c r="AB32" s="1"/>
  <c r="L33"/>
  <c r="N33" s="1"/>
  <c r="O33" s="1"/>
  <c r="L34"/>
  <c r="N34" s="1"/>
  <c r="O34" s="1"/>
  <c r="AA34" s="1"/>
  <c r="AB34" s="1"/>
  <c r="L35"/>
  <c r="N35" s="1"/>
  <c r="L36"/>
  <c r="N36" s="1"/>
  <c r="O36" s="1"/>
  <c r="L37"/>
  <c r="N37" s="1"/>
  <c r="O37" s="1"/>
  <c r="L38"/>
  <c r="N38" s="1"/>
  <c r="L39"/>
  <c r="N39" s="1"/>
  <c r="O39" s="1"/>
  <c r="AA39" s="1"/>
  <c r="AB39" s="1"/>
  <c r="L40"/>
  <c r="N40" s="1"/>
  <c r="L41"/>
  <c r="N41" s="1"/>
  <c r="L42"/>
  <c r="N42" s="1"/>
  <c r="O42" s="1"/>
  <c r="L43"/>
  <c r="N43" s="1"/>
  <c r="L44"/>
  <c r="N44" s="1"/>
  <c r="L45"/>
  <c r="N45" s="1"/>
  <c r="O45" s="1"/>
  <c r="L46"/>
  <c r="N46" s="1"/>
  <c r="L47"/>
  <c r="N47" s="1"/>
  <c r="O47" s="1"/>
  <c r="AA47" s="1"/>
  <c r="AB47" s="1"/>
  <c r="L48"/>
  <c r="N48" s="1"/>
  <c r="L49"/>
  <c r="N49" s="1"/>
  <c r="L50"/>
  <c r="N50" s="1"/>
  <c r="O50" s="1"/>
  <c r="L51"/>
  <c r="N51" s="1"/>
  <c r="O51" s="1"/>
  <c r="L52"/>
  <c r="N52" s="1"/>
  <c r="X52" s="1"/>
  <c r="L53"/>
  <c r="N53" s="1"/>
  <c r="X53" s="1"/>
  <c r="L54"/>
  <c r="N54" s="1"/>
  <c r="O54" s="1"/>
  <c r="L55"/>
  <c r="N55" s="1"/>
  <c r="O55" s="1"/>
  <c r="L56"/>
  <c r="N56" s="1"/>
  <c r="O56" s="1"/>
  <c r="L57"/>
  <c r="N57" s="1"/>
  <c r="L58"/>
  <c r="N58" s="1"/>
  <c r="L59"/>
  <c r="N59" s="1"/>
  <c r="L60"/>
  <c r="L61"/>
  <c r="N61" s="1"/>
  <c r="O61" s="1"/>
  <c r="L62"/>
  <c r="W62" s="1"/>
  <c r="L63"/>
  <c r="N63" s="1"/>
  <c r="O63" s="1"/>
  <c r="AA63" s="1"/>
  <c r="AB63" s="1"/>
  <c r="L64"/>
  <c r="N64" s="1"/>
  <c r="O64" s="1"/>
  <c r="L65"/>
  <c r="N65" s="1"/>
  <c r="L66"/>
  <c r="W66" s="1"/>
  <c r="L67"/>
  <c r="N67" s="1"/>
  <c r="L68"/>
  <c r="N68" s="1"/>
  <c r="L69"/>
  <c r="N69" s="1"/>
  <c r="O69" s="1"/>
  <c r="L70"/>
  <c r="N70" s="1"/>
  <c r="O70" s="1"/>
  <c r="L71"/>
  <c r="N71" s="1"/>
  <c r="O71" s="1"/>
  <c r="L72"/>
  <c r="W72" s="1"/>
  <c r="L73"/>
  <c r="L74"/>
  <c r="W74" s="1"/>
  <c r="L75"/>
  <c r="L76"/>
  <c r="N76" s="1"/>
  <c r="T76" s="1"/>
  <c r="L77"/>
  <c r="N77" s="1"/>
  <c r="S77" s="1"/>
  <c r="L78"/>
  <c r="N78" s="1"/>
  <c r="S78" s="1"/>
  <c r="L79"/>
  <c r="N79" s="1"/>
  <c r="L80"/>
  <c r="N80" s="1"/>
  <c r="L81"/>
  <c r="N81" s="1"/>
  <c r="O81" s="1"/>
  <c r="L82"/>
  <c r="N82" s="1"/>
  <c r="L83"/>
  <c r="N83" s="1"/>
  <c r="O83" s="1"/>
  <c r="L84"/>
  <c r="N84" s="1"/>
  <c r="L85"/>
  <c r="N85" s="1"/>
  <c r="T85" s="1"/>
  <c r="L86"/>
  <c r="N86" s="1"/>
  <c r="O86" s="1"/>
  <c r="L87"/>
  <c r="N87" s="1"/>
  <c r="O87" s="1"/>
  <c r="L88"/>
  <c r="N88" s="1"/>
  <c r="O88" s="1"/>
  <c r="AA88" s="1"/>
  <c r="AB88" s="1"/>
  <c r="L89"/>
  <c r="N89" s="1"/>
  <c r="O89" s="1"/>
  <c r="L90"/>
  <c r="N90" s="1"/>
  <c r="L91"/>
  <c r="N91" s="1"/>
  <c r="O91" s="1"/>
  <c r="L93"/>
  <c r="N93" s="1"/>
  <c r="L94"/>
  <c r="N94" s="1"/>
  <c r="L95"/>
  <c r="N95" s="1"/>
  <c r="O95" s="1"/>
  <c r="L96"/>
  <c r="N96" s="1"/>
  <c r="L97"/>
  <c r="N97" s="1"/>
  <c r="O97" s="1"/>
  <c r="L98"/>
  <c r="N98" s="1"/>
  <c r="O98" s="1"/>
  <c r="L99"/>
  <c r="N99" s="1"/>
  <c r="O99" s="1"/>
  <c r="L100"/>
  <c r="N100" s="1"/>
  <c r="L101"/>
  <c r="N101" s="1"/>
  <c r="O101" s="1"/>
  <c r="L102"/>
  <c r="N102" s="1"/>
  <c r="O102" s="1"/>
  <c r="L103"/>
  <c r="N103" s="1"/>
  <c r="O103" s="1"/>
  <c r="L104"/>
  <c r="N104" s="1"/>
  <c r="L105"/>
  <c r="N105" s="1"/>
  <c r="L106"/>
  <c r="N106" s="1"/>
  <c r="L107"/>
  <c r="N107" s="1"/>
  <c r="O107" s="1"/>
  <c r="L108"/>
  <c r="N108" s="1"/>
  <c r="O108" s="1"/>
  <c r="L109"/>
  <c r="N109" s="1"/>
  <c r="O109" s="1"/>
  <c r="L110"/>
  <c r="N110" s="1"/>
  <c r="O110" s="1"/>
  <c r="L111"/>
  <c r="N111" s="1"/>
  <c r="L112"/>
  <c r="N112" s="1"/>
  <c r="L113"/>
  <c r="N113" s="1"/>
  <c r="O113" s="1"/>
  <c r="L114"/>
  <c r="N114" s="1"/>
  <c r="O114" s="1"/>
  <c r="L115"/>
  <c r="N115" s="1"/>
  <c r="O115" s="1"/>
  <c r="L116"/>
  <c r="N116" s="1"/>
  <c r="O116" s="1"/>
  <c r="AA116" s="1"/>
  <c r="AB116" s="1"/>
  <c r="L118"/>
  <c r="N118" s="1"/>
  <c r="T118" s="1"/>
  <c r="L119"/>
  <c r="N119" s="1"/>
  <c r="L120"/>
  <c r="N120" s="1"/>
  <c r="O120" s="1"/>
  <c r="L121"/>
  <c r="N121" s="1"/>
  <c r="O121" s="1"/>
  <c r="L122"/>
  <c r="N122" s="1"/>
  <c r="T122" s="1"/>
  <c r="L123"/>
  <c r="N123" s="1"/>
  <c r="O123" s="1"/>
  <c r="L124"/>
  <c r="N124" s="1"/>
  <c r="O124" s="1"/>
  <c r="L125"/>
  <c r="N125" s="1"/>
  <c r="O125" s="1"/>
  <c r="L126"/>
  <c r="N126" s="1"/>
  <c r="O126" s="1"/>
  <c r="L127"/>
  <c r="N127" s="1"/>
  <c r="L128"/>
  <c r="N128" s="1"/>
  <c r="O128" s="1"/>
  <c r="AA128" s="1"/>
  <c r="AB128" s="1"/>
  <c r="L129"/>
  <c r="N129" s="1"/>
  <c r="O129" s="1"/>
  <c r="L130"/>
  <c r="N130" s="1"/>
  <c r="O130" s="1"/>
  <c r="L131"/>
  <c r="N131" s="1"/>
  <c r="L92"/>
  <c r="N92" s="1"/>
  <c r="O92" s="1"/>
  <c r="H14" i="18"/>
  <c r="M132" i="2"/>
  <c r="P132"/>
  <c r="U132"/>
  <c r="Y132"/>
  <c r="R130"/>
  <c r="R132" s="1"/>
  <c r="H11" i="18"/>
  <c r="H10"/>
  <c r="H9"/>
  <c r="Q93" i="2"/>
  <c r="Q41"/>
  <c r="E132"/>
  <c r="AA84" i="18"/>
  <c r="AA82"/>
  <c r="AA78"/>
  <c r="AA77"/>
  <c r="AA74"/>
  <c r="AA64"/>
  <c r="AA59"/>
  <c r="AA52"/>
  <c r="AA51"/>
  <c r="AA46"/>
  <c r="AA45"/>
  <c r="AA22"/>
  <c r="W24"/>
  <c r="Z24"/>
  <c r="W23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W22"/>
  <c r="W21"/>
  <c r="M21"/>
  <c r="AN21" s="1"/>
  <c r="E22"/>
  <c r="X89"/>
  <c r="P89"/>
  <c r="N89"/>
  <c r="G8" s="1"/>
  <c r="Y89"/>
  <c r="L21"/>
  <c r="O21" s="1"/>
  <c r="S21" s="1"/>
  <c r="L13" i="2"/>
  <c r="N13" s="1"/>
  <c r="O13" s="1"/>
  <c r="R89" i="18"/>
  <c r="AD89"/>
  <c r="V89"/>
  <c r="Q33"/>
  <c r="K12" i="19"/>
  <c r="W12" s="1"/>
  <c r="X12" s="1"/>
  <c r="K87"/>
  <c r="W87" s="1"/>
  <c r="X87" s="1"/>
  <c r="AC25" i="18" l="1"/>
  <c r="S71" i="19"/>
  <c r="O29" i="18"/>
  <c r="S29" s="1"/>
  <c r="T29" s="1"/>
  <c r="O84" i="19"/>
  <c r="T52"/>
  <c r="W52" s="1"/>
  <c r="X52" s="1"/>
  <c r="W90"/>
  <c r="X90" s="1"/>
  <c r="K17" i="21"/>
  <c r="P78" i="19"/>
  <c r="O82"/>
  <c r="W113"/>
  <c r="X113" s="1"/>
  <c r="AC37" i="18"/>
  <c r="Z14" i="2"/>
  <c r="AA14" s="1"/>
  <c r="AB14" s="1"/>
  <c r="K51" i="19"/>
  <c r="W51" s="1"/>
  <c r="X51" s="1"/>
  <c r="S59"/>
  <c r="W59" s="1"/>
  <c r="X59" s="1"/>
  <c r="AJ45" i="18"/>
  <c r="T45"/>
  <c r="AI25"/>
  <c r="AL25" s="1"/>
  <c r="AM25" s="1"/>
  <c r="V16" i="19"/>
  <c r="W16" s="1"/>
  <c r="X16" s="1"/>
  <c r="T120" i="2"/>
  <c r="AA120" s="1"/>
  <c r="AB120" s="1"/>
  <c r="O34" i="18"/>
  <c r="S34" s="1"/>
  <c r="T34" s="1"/>
  <c r="AA50" i="2"/>
  <c r="AB50" s="1"/>
  <c r="N74"/>
  <c r="O74" s="1"/>
  <c r="AA74" s="1"/>
  <c r="AB74" s="1"/>
  <c r="S72" i="19"/>
  <c r="W72" s="1"/>
  <c r="X72" s="1"/>
  <c r="O80"/>
  <c r="K84"/>
  <c r="W125"/>
  <c r="X125" s="1"/>
  <c r="P117"/>
  <c r="W117" s="1"/>
  <c r="X117" s="1"/>
  <c r="W48"/>
  <c r="X48" s="1"/>
  <c r="O44" i="18"/>
  <c r="S44" s="1"/>
  <c r="T44" s="1"/>
  <c r="W60" i="19"/>
  <c r="X60" s="1"/>
  <c r="AC28" i="18"/>
  <c r="AL28" s="1"/>
  <c r="AM28" s="1"/>
  <c r="Q39"/>
  <c r="S39" s="1"/>
  <c r="W26" i="19"/>
  <c r="X26" s="1"/>
  <c r="T53"/>
  <c r="W53" s="1"/>
  <c r="X53" s="1"/>
  <c r="AA113" i="2"/>
  <c r="AB113" s="1"/>
  <c r="AA110"/>
  <c r="AB110" s="1"/>
  <c r="AA102"/>
  <c r="AB102" s="1"/>
  <c r="AA98"/>
  <c r="AB98" s="1"/>
  <c r="S81"/>
  <c r="S72" i="18"/>
  <c r="AC72" s="1"/>
  <c r="J65" i="19"/>
  <c r="K65" s="1"/>
  <c r="W65" s="1"/>
  <c r="X65" s="1"/>
  <c r="O52" i="2"/>
  <c r="AA52" s="1"/>
  <c r="AB52" s="1"/>
  <c r="W41" i="19"/>
  <c r="X41" s="1"/>
  <c r="W45"/>
  <c r="X45" s="1"/>
  <c r="O43" i="18"/>
  <c r="S43" s="1"/>
  <c r="T43" s="1"/>
  <c r="O35"/>
  <c r="S35" s="1"/>
  <c r="AA97" i="2"/>
  <c r="AB97" s="1"/>
  <c r="Q87" i="18"/>
  <c r="S87" s="1"/>
  <c r="T87" s="1"/>
  <c r="X55" i="2"/>
  <c r="AA55" s="1"/>
  <c r="AB55" s="1"/>
  <c r="T77"/>
  <c r="P82" i="19"/>
  <c r="P122"/>
  <c r="W122" s="1"/>
  <c r="X122" s="1"/>
  <c r="W99"/>
  <c r="X99" s="1"/>
  <c r="W101"/>
  <c r="X101" s="1"/>
  <c r="W103"/>
  <c r="X103" s="1"/>
  <c r="AA89" i="2"/>
  <c r="AB89" s="1"/>
  <c r="J74" i="19"/>
  <c r="K74" s="1"/>
  <c r="O86"/>
  <c r="W71" i="2"/>
  <c r="AA71" s="1"/>
  <c r="AB71" s="1"/>
  <c r="O62" i="18"/>
  <c r="S62" s="1"/>
  <c r="S33"/>
  <c r="T33" s="1"/>
  <c r="AA101" i="2"/>
  <c r="AB101" s="1"/>
  <c r="AA103"/>
  <c r="AB103" s="1"/>
  <c r="AJ22" i="18"/>
  <c r="AC22"/>
  <c r="O67" i="2"/>
  <c r="AA67" s="1"/>
  <c r="AB67" s="1"/>
  <c r="AA36"/>
  <c r="AB36" s="1"/>
  <c r="AC79" i="18"/>
  <c r="T79"/>
  <c r="AJ79"/>
  <c r="AC51"/>
  <c r="AI51"/>
  <c r="AA61" i="2"/>
  <c r="AB61" s="1"/>
  <c r="O15"/>
  <c r="AA15" s="1"/>
  <c r="AB15" s="1"/>
  <c r="O77"/>
  <c r="T81"/>
  <c r="K86" i="19"/>
  <c r="W98"/>
  <c r="X98" s="1"/>
  <c r="W100"/>
  <c r="X100" s="1"/>
  <c r="W102"/>
  <c r="X102" s="1"/>
  <c r="O78" i="2"/>
  <c r="AC83" i="18"/>
  <c r="AL83" s="1"/>
  <c r="AM83" s="1"/>
  <c r="W106" i="19"/>
  <c r="X106" s="1"/>
  <c r="W130"/>
  <c r="X130" s="1"/>
  <c r="O24" i="2"/>
  <c r="AA24" s="1"/>
  <c r="AB24" s="1"/>
  <c r="AC84" i="18"/>
  <c r="T84"/>
  <c r="AI84"/>
  <c r="K38" i="19"/>
  <c r="W38" s="1"/>
  <c r="X38" s="1"/>
  <c r="AC81" i="18"/>
  <c r="T81"/>
  <c r="AC58"/>
  <c r="T58"/>
  <c r="AH58"/>
  <c r="T48"/>
  <c r="AH48"/>
  <c r="AC48"/>
  <c r="AC63"/>
  <c r="T63"/>
  <c r="S55"/>
  <c r="AG55"/>
  <c r="K22" i="19"/>
  <c r="W22" s="1"/>
  <c r="X22" s="1"/>
  <c r="T85" i="18"/>
  <c r="AC85"/>
  <c r="T82" i="2"/>
  <c r="S82"/>
  <c r="O65"/>
  <c r="AA65" s="1"/>
  <c r="AB65" s="1"/>
  <c r="K67" i="19"/>
  <c r="S67"/>
  <c r="AA107" i="2"/>
  <c r="AB107" s="1"/>
  <c r="K119" i="19"/>
  <c r="W119" s="1"/>
  <c r="X119" s="1"/>
  <c r="J73"/>
  <c r="W30"/>
  <c r="X30" s="1"/>
  <c r="W18"/>
  <c r="X18" s="1"/>
  <c r="T54"/>
  <c r="W54" s="1"/>
  <c r="X54" s="1"/>
  <c r="AA69" i="2"/>
  <c r="AB69" s="1"/>
  <c r="T121"/>
  <c r="AA121" s="1"/>
  <c r="AB121" s="1"/>
  <c r="T51" i="18"/>
  <c r="AJ75"/>
  <c r="O50"/>
  <c r="S50" s="1"/>
  <c r="AC75"/>
  <c r="N72" i="2"/>
  <c r="O88" i="18"/>
  <c r="S88" s="1"/>
  <c r="O56"/>
  <c r="S56" s="1"/>
  <c r="T37"/>
  <c r="W40" i="19"/>
  <c r="X40" s="1"/>
  <c r="M131"/>
  <c r="M133" s="1"/>
  <c r="K64"/>
  <c r="W64" s="1"/>
  <c r="X64" s="1"/>
  <c r="AA95" i="2"/>
  <c r="AB95" s="1"/>
  <c r="AC69" i="18"/>
  <c r="O53"/>
  <c r="S53" s="1"/>
  <c r="W110" i="19"/>
  <c r="X110" s="1"/>
  <c r="AA108" i="2"/>
  <c r="AB108" s="1"/>
  <c r="T69" i="18"/>
  <c r="Q52"/>
  <c r="S52" s="1"/>
  <c r="O49"/>
  <c r="S49" s="1"/>
  <c r="AC49" s="1"/>
  <c r="O59" i="2"/>
  <c r="AA59" s="1"/>
  <c r="AB59" s="1"/>
  <c r="K31" i="19"/>
  <c r="W31" s="1"/>
  <c r="X31" s="1"/>
  <c r="K13"/>
  <c r="V13"/>
  <c r="T21" i="18"/>
  <c r="AC21"/>
  <c r="T74"/>
  <c r="AC74"/>
  <c r="K114" i="19"/>
  <c r="W114" s="1"/>
  <c r="X114" s="1"/>
  <c r="K123"/>
  <c r="W123" s="1"/>
  <c r="X123" s="1"/>
  <c r="S83" i="2"/>
  <c r="T83"/>
  <c r="N41" i="21"/>
  <c r="Y41" s="1"/>
  <c r="Z41" s="1"/>
  <c r="M20"/>
  <c r="N20" s="1"/>
  <c r="M31"/>
  <c r="N31" s="1"/>
  <c r="Y31" s="1"/>
  <c r="Z31" s="1"/>
  <c r="M25"/>
  <c r="O118" i="2"/>
  <c r="AA118" s="1"/>
  <c r="AB118" s="1"/>
  <c r="V17" i="19"/>
  <c r="W17" s="1"/>
  <c r="X17" s="1"/>
  <c r="AA13" i="2"/>
  <c r="AB13" s="1"/>
  <c r="O48"/>
  <c r="X48"/>
  <c r="N55" i="21"/>
  <c r="Y55" s="1"/>
  <c r="Z55" s="1"/>
  <c r="M19"/>
  <c r="N19" s="1"/>
  <c r="M36"/>
  <c r="N36" s="1"/>
  <c r="Y36" s="1"/>
  <c r="Z36" s="1"/>
  <c r="K78" i="19"/>
  <c r="AA51" i="2"/>
  <c r="AB51" s="1"/>
  <c r="K109" i="19"/>
  <c r="W109" s="1"/>
  <c r="X109" s="1"/>
  <c r="O93" i="2"/>
  <c r="AA93" s="1"/>
  <c r="AB93" s="1"/>
  <c r="K69" i="19"/>
  <c r="W69" s="1"/>
  <c r="X69" s="1"/>
  <c r="P118"/>
  <c r="W118" s="1"/>
  <c r="X118" s="1"/>
  <c r="P81"/>
  <c r="P80"/>
  <c r="T47"/>
  <c r="W47" s="1"/>
  <c r="X47" s="1"/>
  <c r="O18" i="2"/>
  <c r="AA18" s="1"/>
  <c r="AB18" s="1"/>
  <c r="AA42"/>
  <c r="AB42" s="1"/>
  <c r="T123"/>
  <c r="AA123" s="1"/>
  <c r="AB123" s="1"/>
  <c r="S78" i="18"/>
  <c r="T84" i="2"/>
  <c r="O84"/>
  <c r="W68"/>
  <c r="N66"/>
  <c r="O66" s="1"/>
  <c r="N62"/>
  <c r="O62" s="1"/>
  <c r="AA37"/>
  <c r="AB37" s="1"/>
  <c r="O29"/>
  <c r="AA29" s="1"/>
  <c r="AB29" s="1"/>
  <c r="AC86" i="18"/>
  <c r="T86"/>
  <c r="T76"/>
  <c r="AC76"/>
  <c r="J70" i="19"/>
  <c r="O85"/>
  <c r="W91"/>
  <c r="X91" s="1"/>
  <c r="K120"/>
  <c r="W120" s="1"/>
  <c r="X120" s="1"/>
  <c r="N73" i="2"/>
  <c r="O73" s="1"/>
  <c r="W73"/>
  <c r="O19"/>
  <c r="AA19" s="1"/>
  <c r="AB19" s="1"/>
  <c r="N57" i="21"/>
  <c r="Y57" s="1"/>
  <c r="Z57" s="1"/>
  <c r="N37"/>
  <c r="Y37" s="1"/>
  <c r="Z37" s="1"/>
  <c r="M30"/>
  <c r="N30" s="1"/>
  <c r="Y30" s="1"/>
  <c r="Z30" s="1"/>
  <c r="T68" i="18"/>
  <c r="AC68"/>
  <c r="T86" i="2"/>
  <c r="S86"/>
  <c r="O79"/>
  <c r="S79"/>
  <c r="T40" i="18"/>
  <c r="AC40"/>
  <c r="AI40"/>
  <c r="W42" i="19"/>
  <c r="X42" s="1"/>
  <c r="N23" i="21"/>
  <c r="Y23" s="1"/>
  <c r="Z23" s="1"/>
  <c r="P85" i="19"/>
  <c r="AA33" i="2"/>
  <c r="AB33" s="1"/>
  <c r="O111"/>
  <c r="AA111" s="1"/>
  <c r="AB111" s="1"/>
  <c r="O49"/>
  <c r="AA49" s="1"/>
  <c r="AB49" s="1"/>
  <c r="AC77" i="18"/>
  <c r="T77"/>
  <c r="AJ73"/>
  <c r="AC73"/>
  <c r="T73"/>
  <c r="AC70"/>
  <c r="AG70"/>
  <c r="AC66"/>
  <c r="T66"/>
  <c r="Q46"/>
  <c r="O46"/>
  <c r="AB89"/>
  <c r="W128" i="19"/>
  <c r="X128" s="1"/>
  <c r="N42" i="21"/>
  <c r="Y42" s="1"/>
  <c r="Z42" s="1"/>
  <c r="M29"/>
  <c r="N29" s="1"/>
  <c r="Y29" s="1"/>
  <c r="Z29" s="1"/>
  <c r="N38"/>
  <c r="Y38" s="1"/>
  <c r="Z38" s="1"/>
  <c r="M18"/>
  <c r="M35"/>
  <c r="V35" s="1"/>
  <c r="V17" s="1"/>
  <c r="AF89" i="18"/>
  <c r="W116" i="19"/>
  <c r="X116" s="1"/>
  <c r="N43" i="21"/>
  <c r="Y43" s="1"/>
  <c r="Z43" s="1"/>
  <c r="M22"/>
  <c r="N22" s="1"/>
  <c r="M32"/>
  <c r="N32" s="1"/>
  <c r="M58"/>
  <c r="N58" s="1"/>
  <c r="Y58" s="1"/>
  <c r="Z58" s="1"/>
  <c r="M28"/>
  <c r="N28" s="1"/>
  <c r="Y28" s="1"/>
  <c r="Z28" s="1"/>
  <c r="M21"/>
  <c r="N21" s="1"/>
  <c r="M27"/>
  <c r="N27" s="1"/>
  <c r="Y27" s="1"/>
  <c r="Z27" s="1"/>
  <c r="M26"/>
  <c r="K105" i="19"/>
  <c r="W105" s="1"/>
  <c r="X105" s="1"/>
  <c r="AH36" i="18"/>
  <c r="T36"/>
  <c r="O96" i="2"/>
  <c r="AA96" s="1"/>
  <c r="AB96" s="1"/>
  <c r="O94"/>
  <c r="AA94" s="1"/>
  <c r="AB94" s="1"/>
  <c r="K104" i="19"/>
  <c r="W104" s="1"/>
  <c r="X104" s="1"/>
  <c r="K115"/>
  <c r="W115" s="1"/>
  <c r="X115" s="1"/>
  <c r="M89" i="18"/>
  <c r="T65"/>
  <c r="AC65"/>
  <c r="E89"/>
  <c r="O58" i="2"/>
  <c r="X58"/>
  <c r="K27" i="19"/>
  <c r="W27" s="1"/>
  <c r="X27" s="1"/>
  <c r="W112"/>
  <c r="X112" s="1"/>
  <c r="K107"/>
  <c r="W107" s="1"/>
  <c r="X107" s="1"/>
  <c r="AA56" i="2"/>
  <c r="AB56" s="1"/>
  <c r="O81" i="19"/>
  <c r="K76"/>
  <c r="AA91" i="2"/>
  <c r="AB91" s="1"/>
  <c r="T23" i="18"/>
  <c r="AC23"/>
  <c r="AC26"/>
  <c r="AI26"/>
  <c r="O131" i="2"/>
  <c r="AA131" s="1"/>
  <c r="AB131" s="1"/>
  <c r="AA125"/>
  <c r="AB125" s="1"/>
  <c r="T119"/>
  <c r="O119"/>
  <c r="AA115"/>
  <c r="AB115" s="1"/>
  <c r="O112"/>
  <c r="AA112" s="1"/>
  <c r="AB112" s="1"/>
  <c r="AA109"/>
  <c r="AB109" s="1"/>
  <c r="S80"/>
  <c r="O80"/>
  <c r="T80"/>
  <c r="O76"/>
  <c r="S76"/>
  <c r="X70"/>
  <c r="AA70" s="1"/>
  <c r="AB70" s="1"/>
  <c r="AA64"/>
  <c r="AB64" s="1"/>
  <c r="O46"/>
  <c r="AA46" s="1"/>
  <c r="AB46" s="1"/>
  <c r="O43"/>
  <c r="AA43" s="1"/>
  <c r="AB43" s="1"/>
  <c r="O40"/>
  <c r="AA40" s="1"/>
  <c r="AB40" s="1"/>
  <c r="T80" i="18"/>
  <c r="AC80"/>
  <c r="T57"/>
  <c r="AC57"/>
  <c r="AC32"/>
  <c r="T32"/>
  <c r="O27"/>
  <c r="S27" s="1"/>
  <c r="L89"/>
  <c r="K49" i="19"/>
  <c r="W49" s="1"/>
  <c r="X49" s="1"/>
  <c r="K95"/>
  <c r="W95" s="1"/>
  <c r="X95" s="1"/>
  <c r="W89" i="18"/>
  <c r="W92" i="19"/>
  <c r="X92" s="1"/>
  <c r="K96"/>
  <c r="W96" s="1"/>
  <c r="X96" s="1"/>
  <c r="P121"/>
  <c r="K121"/>
  <c r="N131"/>
  <c r="N133" s="1"/>
  <c r="W129"/>
  <c r="X129" s="1"/>
  <c r="W124"/>
  <c r="X124" s="1"/>
  <c r="AC36" i="18"/>
  <c r="AC30"/>
  <c r="AI30"/>
  <c r="V14" i="19"/>
  <c r="K14"/>
  <c r="W32"/>
  <c r="X32" s="1"/>
  <c r="P79"/>
  <c r="O83"/>
  <c r="P83"/>
  <c r="P76"/>
  <c r="H131"/>
  <c r="K89"/>
  <c r="W89" s="1"/>
  <c r="X89" s="1"/>
  <c r="W71"/>
  <c r="X71" s="1"/>
  <c r="O79"/>
  <c r="O53" i="2"/>
  <c r="AA53" s="1"/>
  <c r="AB53" s="1"/>
  <c r="O68"/>
  <c r="T60" i="18"/>
  <c r="AC60"/>
  <c r="T38"/>
  <c r="AC38"/>
  <c r="AC54"/>
  <c r="T54"/>
  <c r="T67"/>
  <c r="AH67"/>
  <c r="AC67"/>
  <c r="AA129" i="2"/>
  <c r="AB129" s="1"/>
  <c r="AA126"/>
  <c r="AB126" s="1"/>
  <c r="O105"/>
  <c r="AA105" s="1"/>
  <c r="AB105" s="1"/>
  <c r="O90"/>
  <c r="AA90" s="1"/>
  <c r="AB90" s="1"/>
  <c r="S87"/>
  <c r="T87"/>
  <c r="N60"/>
  <c r="W60"/>
  <c r="O57"/>
  <c r="X57"/>
  <c r="O44"/>
  <c r="AA44" s="1"/>
  <c r="AB44" s="1"/>
  <c r="O41"/>
  <c r="AA41" s="1"/>
  <c r="AB41" s="1"/>
  <c r="O38"/>
  <c r="AA38" s="1"/>
  <c r="AB38" s="1"/>
  <c r="O35"/>
  <c r="AA35" s="1"/>
  <c r="AB35" s="1"/>
  <c r="O31"/>
  <c r="AA31" s="1"/>
  <c r="AB31" s="1"/>
  <c r="AA27"/>
  <c r="AB27" s="1"/>
  <c r="O25"/>
  <c r="AA25" s="1"/>
  <c r="AB25" s="1"/>
  <c r="O23"/>
  <c r="AA23" s="1"/>
  <c r="AB23" s="1"/>
  <c r="N20"/>
  <c r="L132"/>
  <c r="O17"/>
  <c r="AA17" s="1"/>
  <c r="AB17" s="1"/>
  <c r="AG71" i="18"/>
  <c r="S71"/>
  <c r="AC47"/>
  <c r="AI47"/>
  <c r="O41"/>
  <c r="Q41"/>
  <c r="O31"/>
  <c r="Q31"/>
  <c r="S24"/>
  <c r="W15" i="19"/>
  <c r="X15" s="1"/>
  <c r="W23"/>
  <c r="X23" s="1"/>
  <c r="W34"/>
  <c r="X34" s="1"/>
  <c r="K55"/>
  <c r="W55" s="1"/>
  <c r="X55" s="1"/>
  <c r="K57"/>
  <c r="T57"/>
  <c r="K62"/>
  <c r="W62" s="1"/>
  <c r="X62" s="1"/>
  <c r="P77"/>
  <c r="O77"/>
  <c r="W88"/>
  <c r="X88" s="1"/>
  <c r="AK59" i="18"/>
  <c r="AK89" s="1"/>
  <c r="U132" i="19" s="1"/>
  <c r="U133" s="1"/>
  <c r="AC59" i="18"/>
  <c r="AA89"/>
  <c r="O127" i="2"/>
  <c r="AA127" s="1"/>
  <c r="AB127" s="1"/>
  <c r="AA124"/>
  <c r="AB124" s="1"/>
  <c r="O106"/>
  <c r="AA106" s="1"/>
  <c r="AB106" s="1"/>
  <c r="O100"/>
  <c r="AA100" s="1"/>
  <c r="AB100" s="1"/>
  <c r="S85"/>
  <c r="O85"/>
  <c r="O22"/>
  <c r="AA22" s="1"/>
  <c r="AB22" s="1"/>
  <c r="T56" i="19"/>
  <c r="W56" s="1"/>
  <c r="X56" s="1"/>
  <c r="W39"/>
  <c r="X39" s="1"/>
  <c r="O122" i="2"/>
  <c r="AA122" s="1"/>
  <c r="AB122" s="1"/>
  <c r="T79"/>
  <c r="O82"/>
  <c r="AC82" i="18"/>
  <c r="AL82" s="1"/>
  <c r="AM82" s="1"/>
  <c r="G13"/>
  <c r="H13" s="1"/>
  <c r="H8"/>
  <c r="G12"/>
  <c r="H12" s="1"/>
  <c r="Q132" i="2"/>
  <c r="AA130"/>
  <c r="AB130" s="1"/>
  <c r="O104"/>
  <c r="AA104" s="1"/>
  <c r="AB104" s="1"/>
  <c r="AA99"/>
  <c r="AB99" s="1"/>
  <c r="S84"/>
  <c r="T78"/>
  <c r="N75"/>
  <c r="V75"/>
  <c r="V132" s="1"/>
  <c r="X54"/>
  <c r="AA54" s="1"/>
  <c r="AB54" s="1"/>
  <c r="AG64" i="18"/>
  <c r="S64"/>
  <c r="T61"/>
  <c r="AC61"/>
  <c r="T42"/>
  <c r="AI42"/>
  <c r="Z89"/>
  <c r="AE89"/>
  <c r="AA117" i="2"/>
  <c r="AB117" s="1"/>
  <c r="W35" i="19"/>
  <c r="X35" s="1"/>
  <c r="W44"/>
  <c r="X44" s="1"/>
  <c r="W58"/>
  <c r="X58" s="1"/>
  <c r="P75"/>
  <c r="K75"/>
  <c r="W97"/>
  <c r="X97" s="1"/>
  <c r="W108"/>
  <c r="X108" s="1"/>
  <c r="AA92" i="2"/>
  <c r="AB92" s="1"/>
  <c r="AA114"/>
  <c r="AB114" s="1"/>
  <c r="AA45"/>
  <c r="AB45" s="1"/>
  <c r="S61" i="19"/>
  <c r="J61"/>
  <c r="W84" l="1"/>
  <c r="X84" s="1"/>
  <c r="W82"/>
  <c r="X82" s="1"/>
  <c r="AC44" i="18"/>
  <c r="X18" i="21"/>
  <c r="M17"/>
  <c r="AL37" i="18"/>
  <c r="AM37" s="1"/>
  <c r="AL45"/>
  <c r="AM45" s="1"/>
  <c r="W78" i="19"/>
  <c r="X78" s="1"/>
  <c r="Z132" i="2"/>
  <c r="W80" i="19"/>
  <c r="X80" s="1"/>
  <c r="AI44" i="18"/>
  <c r="AL44" s="1"/>
  <c r="AM44" s="1"/>
  <c r="W86" i="19"/>
  <c r="X86" s="1"/>
  <c r="AC87" i="18"/>
  <c r="AL87" s="1"/>
  <c r="AM87" s="1"/>
  <c r="AA81" i="2"/>
  <c r="AB81" s="1"/>
  <c r="AC33" i="18"/>
  <c r="AL33" s="1"/>
  <c r="AM33" s="1"/>
  <c r="T72"/>
  <c r="AL72" s="1"/>
  <c r="AM72" s="1"/>
  <c r="AI35"/>
  <c r="AC35"/>
  <c r="T35"/>
  <c r="AA77" i="2"/>
  <c r="AB77" s="1"/>
  <c r="AL75" i="18"/>
  <c r="AM75" s="1"/>
  <c r="W74" i="19"/>
  <c r="X74" s="1"/>
  <c r="AC43" i="18"/>
  <c r="AI43"/>
  <c r="AA68" i="2"/>
  <c r="AB68" s="1"/>
  <c r="W81" i="19"/>
  <c r="X81" s="1"/>
  <c r="AL60" i="18"/>
  <c r="AM60" s="1"/>
  <c r="W79" i="19"/>
  <c r="X79" s="1"/>
  <c r="AL22" i="18"/>
  <c r="AM22" s="1"/>
  <c r="AL77"/>
  <c r="AM77" s="1"/>
  <c r="W85" i="19"/>
  <c r="X85" s="1"/>
  <c r="AA83" i="2"/>
  <c r="AB83" s="1"/>
  <c r="T49" i="18"/>
  <c r="W132" i="2"/>
  <c r="AL51" i="18"/>
  <c r="AM51" s="1"/>
  <c r="AA86" i="2"/>
  <c r="AB86" s="1"/>
  <c r="AA82"/>
  <c r="AB82" s="1"/>
  <c r="AA119"/>
  <c r="AB119" s="1"/>
  <c r="AL32" i="18"/>
  <c r="AM32" s="1"/>
  <c r="AL79"/>
  <c r="AM79" s="1"/>
  <c r="AL68"/>
  <c r="AM68" s="1"/>
  <c r="AL76"/>
  <c r="AM76" s="1"/>
  <c r="AA85" i="2"/>
  <c r="AB85" s="1"/>
  <c r="AL63" i="18"/>
  <c r="AM63" s="1"/>
  <c r="AL81"/>
  <c r="AM81" s="1"/>
  <c r="AL58"/>
  <c r="AM58" s="1"/>
  <c r="AL42"/>
  <c r="AM42" s="1"/>
  <c r="AA48" i="2"/>
  <c r="AB48" s="1"/>
  <c r="S131" i="19"/>
  <c r="AL38" i="18"/>
  <c r="AM38" s="1"/>
  <c r="AI49"/>
  <c r="AL70"/>
  <c r="AM70" s="1"/>
  <c r="AJ89"/>
  <c r="AL69"/>
  <c r="AM69" s="1"/>
  <c r="W67" i="19"/>
  <c r="X67" s="1"/>
  <c r="AL57" i="18"/>
  <c r="AM57" s="1"/>
  <c r="AL84"/>
  <c r="AM84" s="1"/>
  <c r="AA66" i="2"/>
  <c r="AB66" s="1"/>
  <c r="W75" i="19"/>
  <c r="X75" s="1"/>
  <c r="W121"/>
  <c r="X121" s="1"/>
  <c r="O72" i="2"/>
  <c r="AA72" s="1"/>
  <c r="AB72" s="1"/>
  <c r="K73" i="19"/>
  <c r="W73" s="1"/>
  <c r="X73" s="1"/>
  <c r="T56" i="18"/>
  <c r="AC56"/>
  <c r="AH56"/>
  <c r="T88"/>
  <c r="AC88"/>
  <c r="AA79" i="2"/>
  <c r="AB79" s="1"/>
  <c r="W57" i="19"/>
  <c r="X57" s="1"/>
  <c r="S41" i="18"/>
  <c r="AI41" s="1"/>
  <c r="AC34"/>
  <c r="AL30"/>
  <c r="AM30" s="1"/>
  <c r="AC29"/>
  <c r="AA73" i="2"/>
  <c r="AB73" s="1"/>
  <c r="AL86" i="18"/>
  <c r="AM86" s="1"/>
  <c r="AA84" i="2"/>
  <c r="AB84" s="1"/>
  <c r="AC52" i="18"/>
  <c r="T52"/>
  <c r="AI34"/>
  <c r="AL34" s="1"/>
  <c r="AM34" s="1"/>
  <c r="AA80" i="2"/>
  <c r="AB80" s="1"/>
  <c r="AC55" i="18"/>
  <c r="T55"/>
  <c r="W14" i="19"/>
  <c r="X14" s="1"/>
  <c r="AL73" i="18"/>
  <c r="AM73" s="1"/>
  <c r="AL21"/>
  <c r="AM21" s="1"/>
  <c r="AL85"/>
  <c r="AM85" s="1"/>
  <c r="AL48"/>
  <c r="AM48" s="1"/>
  <c r="N18" i="21"/>
  <c r="Y19"/>
  <c r="Z19" s="1"/>
  <c r="X20"/>
  <c r="Y20" s="1"/>
  <c r="Z20" s="1"/>
  <c r="K70" i="19"/>
  <c r="W70" s="1"/>
  <c r="X70" s="1"/>
  <c r="T132" i="2"/>
  <c r="AL80" i="18"/>
  <c r="AM80" s="1"/>
  <c r="Y32" i="21"/>
  <c r="Z32" s="1"/>
  <c r="AL66" i="18"/>
  <c r="AM66" s="1"/>
  <c r="AC78"/>
  <c r="T78"/>
  <c r="AL59"/>
  <c r="AM59" s="1"/>
  <c r="AL47"/>
  <c r="AM47" s="1"/>
  <c r="AL23"/>
  <c r="AM23" s="1"/>
  <c r="Y22" i="21"/>
  <c r="Z22" s="1"/>
  <c r="T62" i="18"/>
  <c r="AG62"/>
  <c r="AG89" s="1"/>
  <c r="R132" i="19" s="1"/>
  <c r="R133" s="1"/>
  <c r="AC62" i="18"/>
  <c r="N26" i="21"/>
  <c r="Y26" s="1"/>
  <c r="Z26" s="1"/>
  <c r="AL40" i="18"/>
  <c r="AM40" s="1"/>
  <c r="N25" i="21"/>
  <c r="O89" i="18"/>
  <c r="AL54"/>
  <c r="AM54" s="1"/>
  <c r="AI29"/>
  <c r="T39"/>
  <c r="AI39"/>
  <c r="AC39"/>
  <c r="N35" i="21"/>
  <c r="W13" i="19"/>
  <c r="X13" s="1"/>
  <c r="J131"/>
  <c r="AA57" i="2"/>
  <c r="AB57" s="1"/>
  <c r="W83" i="19"/>
  <c r="X83" s="1"/>
  <c r="V131"/>
  <c r="V133" s="1"/>
  <c r="AA62" i="2"/>
  <c r="AB62" s="1"/>
  <c r="AL26" i="18"/>
  <c r="AM26" s="1"/>
  <c r="AA58" i="2"/>
  <c r="AB58" s="1"/>
  <c r="AL65" i="18"/>
  <c r="AM65" s="1"/>
  <c r="S46"/>
  <c r="AL74"/>
  <c r="AM74" s="1"/>
  <c r="X21" i="21"/>
  <c r="T50" i="18"/>
  <c r="AC50"/>
  <c r="AL36"/>
  <c r="AM36" s="1"/>
  <c r="AC53"/>
  <c r="T53"/>
  <c r="AA87" i="2"/>
  <c r="AB87" s="1"/>
  <c r="AL67" i="18"/>
  <c r="AM67" s="1"/>
  <c r="S132" i="2"/>
  <c r="X132"/>
  <c r="P131" i="19"/>
  <c r="P133" s="1"/>
  <c r="O75" i="2"/>
  <c r="AA75" s="1"/>
  <c r="AB75" s="1"/>
  <c r="Q89" i="18"/>
  <c r="S31"/>
  <c r="N132" i="2"/>
  <c r="O20"/>
  <c r="AA20" s="1"/>
  <c r="AB20" s="1"/>
  <c r="O60"/>
  <c r="AA60" s="1"/>
  <c r="AA76"/>
  <c r="AB76" s="1"/>
  <c r="T131" i="19"/>
  <c r="W77"/>
  <c r="X77" s="1"/>
  <c r="O131"/>
  <c r="O133" s="1"/>
  <c r="AC64" i="18"/>
  <c r="T64"/>
  <c r="AC24"/>
  <c r="AI24"/>
  <c r="T24"/>
  <c r="AC71"/>
  <c r="T71"/>
  <c r="K61" i="19"/>
  <c r="AL61" i="18"/>
  <c r="AM61" s="1"/>
  <c r="AA78" i="2"/>
  <c r="AB78" s="1"/>
  <c r="AC27" i="18"/>
  <c r="T27"/>
  <c r="W76" i="19"/>
  <c r="X76" s="1"/>
  <c r="N17" i="21" l="1"/>
  <c r="X17"/>
  <c r="Y18"/>
  <c r="T41" i="18"/>
  <c r="AL49"/>
  <c r="AM49" s="1"/>
  <c r="AL43"/>
  <c r="AM43" s="1"/>
  <c r="AL35"/>
  <c r="AM35" s="1"/>
  <c r="AL29"/>
  <c r="AM29" s="1"/>
  <c r="AC41"/>
  <c r="S89"/>
  <c r="T89" s="1"/>
  <c r="H132" i="19"/>
  <c r="H133" s="1"/>
  <c r="AL88" i="18"/>
  <c r="AM88" s="1"/>
  <c r="AL55"/>
  <c r="AM55" s="1"/>
  <c r="AL52"/>
  <c r="AM52" s="1"/>
  <c r="AL56"/>
  <c r="AM56" s="1"/>
  <c r="K131" i="19"/>
  <c r="AL71" i="18"/>
  <c r="AM71" s="1"/>
  <c r="AH89"/>
  <c r="S132" i="19" s="1"/>
  <c r="S133" s="1"/>
  <c r="AL62" i="18"/>
  <c r="AM62" s="1"/>
  <c r="Y35" i="21"/>
  <c r="Z35" s="1"/>
  <c r="AL78" i="18"/>
  <c r="AM78" s="1"/>
  <c r="Y25" i="21"/>
  <c r="Z25" s="1"/>
  <c r="AL64" i="18"/>
  <c r="AM64" s="1"/>
  <c r="T46"/>
  <c r="AC46"/>
  <c r="AI46"/>
  <c r="AL39"/>
  <c r="AM39" s="1"/>
  <c r="Y21" i="21"/>
  <c r="AB60" i="2"/>
  <c r="AB132" s="1"/>
  <c r="AA132"/>
  <c r="W61" i="19"/>
  <c r="AL53" i="18"/>
  <c r="AM53" s="1"/>
  <c r="AL27"/>
  <c r="AM27" s="1"/>
  <c r="AL24"/>
  <c r="O132" i="2"/>
  <c r="AI31" i="18"/>
  <c r="T31"/>
  <c r="AC31"/>
  <c r="AL50"/>
  <c r="AM50" s="1"/>
  <c r="Z18" i="21" l="1"/>
  <c r="Y17"/>
  <c r="AL41" i="18"/>
  <c r="AM41" s="1"/>
  <c r="J132" i="19"/>
  <c r="J133" s="1"/>
  <c r="AC89" i="18"/>
  <c r="Q132" i="19" s="1"/>
  <c r="Q133" s="1"/>
  <c r="AL46" i="18"/>
  <c r="AM46" s="1"/>
  <c r="Z21" i="21"/>
  <c r="X61" i="19"/>
  <c r="X131" s="1"/>
  <c r="W131"/>
  <c r="AL31" i="18"/>
  <c r="AM31" s="1"/>
  <c r="AI89"/>
  <c r="T132" i="19" s="1"/>
  <c r="T133" s="1"/>
  <c r="AM24" i="18"/>
  <c r="Z17" i="21" l="1"/>
  <c r="K132" i="19"/>
  <c r="K133" s="1"/>
  <c r="AL89" i="18"/>
  <c r="AM89"/>
  <c r="X134" i="19" s="1"/>
  <c r="W132" l="1"/>
  <c r="X132" s="1"/>
  <c r="X133" s="1"/>
  <c r="W133" l="1"/>
</calcChain>
</file>

<file path=xl/sharedStrings.xml><?xml version="1.0" encoding="utf-8"?>
<sst xmlns="http://schemas.openxmlformats.org/spreadsheetml/2006/main" count="2901" uniqueCount="683">
  <si>
    <t>Лауазымдардың атауы</t>
  </si>
  <si>
    <t>аты-жөні</t>
  </si>
  <si>
    <t>шт.бір-лік</t>
  </si>
  <si>
    <t>коэф.</t>
  </si>
  <si>
    <t>лауазымды жалақы</t>
  </si>
  <si>
    <t>Директор</t>
  </si>
  <si>
    <t>Бас есепші</t>
  </si>
  <si>
    <t>Комендант</t>
  </si>
  <si>
    <t>Тігінші</t>
  </si>
  <si>
    <t>"Бекітемін"</t>
  </si>
  <si>
    <t>Тарификациялық комиссия мүшелері  :</t>
  </si>
  <si>
    <t>С-2</t>
  </si>
  <si>
    <t>С-1</t>
  </si>
  <si>
    <t>В3-4</t>
  </si>
  <si>
    <t>D-1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</si>
  <si>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</si>
  <si>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</si>
  <si>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</si>
  <si>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</si>
  <si>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</si>
  <si>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</si>
  <si>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</si>
  <si>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</si>
  <si>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</si>
  <si>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</si>
  <si>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</si>
  <si>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өтілі</t>
  </si>
  <si>
    <t>коэф</t>
  </si>
  <si>
    <t>барлық жүкте-ме</t>
  </si>
  <si>
    <t xml:space="preserve">Апталық жуктеме сағаты </t>
  </si>
  <si>
    <t>Дәптер тексергені үшін</t>
  </si>
  <si>
    <t>часы 40%</t>
  </si>
  <si>
    <t>сағ</t>
  </si>
  <si>
    <t>соммасы</t>
  </si>
  <si>
    <t>сағ.</t>
  </si>
  <si>
    <t>категория</t>
  </si>
  <si>
    <t>еңбек өтілі</t>
  </si>
  <si>
    <t>жоғары</t>
  </si>
  <si>
    <t>Түркістан облысының  адами әлеуетті дамыту</t>
  </si>
  <si>
    <t>ағылшын</t>
  </si>
  <si>
    <t xml:space="preserve"> кабин</t>
  </si>
  <si>
    <t>магистр, доктор, наставник</t>
  </si>
  <si>
    <t>1 айдағы лауазымдық жалақы 25% бен қосқанда</t>
  </si>
  <si>
    <t>санаты
(жоғары, орта, 1,2)</t>
  </si>
  <si>
    <t>Қосымша төлемақылар</t>
  </si>
  <si>
    <t>модератор 30%</t>
  </si>
  <si>
    <t>сарапшы 
35%</t>
  </si>
  <si>
    <t>шебер
50%</t>
  </si>
  <si>
    <t xml:space="preserve">Зиянды және қауіпті еңбек жағдайлары 20%- 30% </t>
  </si>
  <si>
    <t>зерттеуші
40%</t>
  </si>
  <si>
    <t>кабинетке ақы төлеу</t>
  </si>
  <si>
    <t>доп кф</t>
  </si>
  <si>
    <t>ауылдық жердегі жұмысы үшін 25%</t>
  </si>
  <si>
    <t>БЛА</t>
  </si>
  <si>
    <t xml:space="preserve">түнгі уақытта жұмыс істегені үшін 50% </t>
  </si>
  <si>
    <t>мереке күндері жұмыс істегені үшін</t>
  </si>
  <si>
    <t>штаттық бірлік</t>
  </si>
  <si>
    <t>Косымша коэф</t>
  </si>
  <si>
    <t xml:space="preserve">Базалық ставка </t>
  </si>
  <si>
    <t>Білімі
жоғары, орта арнаулы</t>
  </si>
  <si>
    <t>Ауылдық жердегі жұмысы үшін 25%</t>
  </si>
  <si>
    <t>%</t>
  </si>
  <si>
    <t>Зияндық үшін 40%</t>
  </si>
  <si>
    <t>Қосымша төлемақылар шеберлік және сарапшы үшін РБ</t>
  </si>
  <si>
    <t>зерттеші
40%</t>
  </si>
  <si>
    <t>жаңартылған бағдарлама 
30%</t>
  </si>
  <si>
    <t>Айлық жалақы, теңге</t>
  </si>
  <si>
    <t xml:space="preserve">Жылдық жалақы, мың теңге  </t>
  </si>
  <si>
    <t>басшы лауазымы 30%, 50%, 100%</t>
  </si>
  <si>
    <t>бірінші</t>
  </si>
  <si>
    <t>екінші</t>
  </si>
  <si>
    <t>Барлығы</t>
  </si>
  <si>
    <t>Санаты
жоғары, 1, 2</t>
  </si>
  <si>
    <t>экология 20 %</t>
  </si>
  <si>
    <t>Өскенбай Ғалымжан Зұлпыхарұлы</t>
  </si>
  <si>
    <t>Оспанов Сейтжан</t>
  </si>
  <si>
    <t>Балабаев Болисбек Жапбарович</t>
  </si>
  <si>
    <t>Қайқыбаева Айман Бердіқұлқызы</t>
  </si>
  <si>
    <t>Арапбекова Зулфия Айтжановна</t>
  </si>
  <si>
    <t>Ошанова Зауре Бейсенбековна</t>
  </si>
  <si>
    <t>Джанкараева Ғазиза</t>
  </si>
  <si>
    <t>Есбола Жақсыгүл Мұхтарқызы</t>
  </si>
  <si>
    <t>Тастанбекова Куттыкыз Шадибековна</t>
  </si>
  <si>
    <t>Альтекова Гаухар Калихановна</t>
  </si>
  <si>
    <t>АРЫСТАНОВА ЖАНСЛУ САЙЛАУОВНА</t>
  </si>
  <si>
    <t>Жумагул Жаслан Баксиикулы</t>
  </si>
  <si>
    <t>Бектурова Гулшарат Нурмахановна</t>
  </si>
  <si>
    <t>Колчабекова Алия Амирбековна</t>
  </si>
  <si>
    <t>Турсынбаева Перуза Бертаевна</t>
  </si>
  <si>
    <t>Мнуар Ернат Рамазанұлы</t>
  </si>
  <si>
    <t>Алсейтова Айгуль Набиевна</t>
  </si>
  <si>
    <t>Таджимухаммад Нурсултан Ахрарулы</t>
  </si>
  <si>
    <t>КЕНЖИЕВА АЙГУЛЬ КИЗАТОВНА</t>
  </si>
  <si>
    <t xml:space="preserve">Мырзабаева Раушан Уразгалиевна </t>
  </si>
  <si>
    <t>Темирова Нуржамал Уаисовна</t>
  </si>
  <si>
    <t>Назиров Е</t>
  </si>
  <si>
    <t>Аманкулова Шолпан Ханалиевна</t>
  </si>
  <si>
    <t>Жолтаева Ақнұр Исаханқызы</t>
  </si>
  <si>
    <t>Омаров Ашимхан Карибаевич</t>
  </si>
  <si>
    <t>Омар Салима Амірханқызы</t>
  </si>
  <si>
    <t>Борибекова Жазира Пазиловна</t>
  </si>
  <si>
    <t>Айтмаханбетова Гульжазира Абеновна</t>
  </si>
  <si>
    <t>Беристемова Фариза Турсункуловна</t>
  </si>
  <si>
    <t>Байтөлеу Нұржан Қабденұлы</t>
  </si>
  <si>
    <t>Насирова Фатима Шамситдиновна</t>
  </si>
  <si>
    <t>Байсейтова Улбала Сейтбеккызы</t>
  </si>
  <si>
    <t>Суйіндік Назерке</t>
  </si>
  <si>
    <t>Құдайберген Нұрболат Маратұлы</t>
  </si>
  <si>
    <t>Ахметова Гулжан Сапаровна</t>
  </si>
  <si>
    <t>Дулатов Самат Рахымбаевич</t>
  </si>
  <si>
    <t>Бердыбаев Бейбит Асанович</t>
  </si>
  <si>
    <t>Бостанов Дастан Шырынханұлы</t>
  </si>
  <si>
    <t>Телемисов Женис</t>
  </si>
  <si>
    <t>Тогуспаева Пернекул Наурызбайқызы</t>
  </si>
  <si>
    <t>Кыдырбекова Жулдызай Балтабаевна</t>
  </si>
  <si>
    <t>Джумадуллаева Майра</t>
  </si>
  <si>
    <t>Усипбеков Аскаржан Суттибекович</t>
  </si>
  <si>
    <t>Камалова Әсем Тоғызбайқызы</t>
  </si>
  <si>
    <t>Арынов Асқар Кудасович</t>
  </si>
  <si>
    <t>Қалдыбай Самат Оразғалиұлы</t>
  </si>
  <si>
    <t>Серикова Майра Ергешовна</t>
  </si>
  <si>
    <t>Төлеш Ұлжарқын Арапбайқызы</t>
  </si>
  <si>
    <t>Макешова Гулжан Адаевна</t>
  </si>
  <si>
    <t>Нуржанбаева Айгерим</t>
  </si>
  <si>
    <t>Парпиев Иззатилла Уткирович</t>
  </si>
  <si>
    <t>Шегенова Айгерим Куанышовна</t>
  </si>
  <si>
    <t>Калдыбекова Меруерт Сабитовна</t>
  </si>
  <si>
    <t>Мәлкайдар Шоқан Мұратұлы</t>
  </si>
  <si>
    <t>Муратаев Адилбек Халиллулаевич</t>
  </si>
  <si>
    <t>Шагирова Мейрамкүл Кожабековна</t>
  </si>
  <si>
    <t>Есимбеков Канат Дилдабекович</t>
  </si>
  <si>
    <t>Керимбеков Олжас Мусабекович,</t>
  </si>
  <si>
    <t>Умбетов Руслан Балтабекович</t>
  </si>
  <si>
    <t>Мамешова Ұлжалғас</t>
  </si>
  <si>
    <t>Утенова Диана Қалмұратқызы</t>
  </si>
  <si>
    <t>Ақынова Мәншүк Берікқызы</t>
  </si>
  <si>
    <t>Утебаева Азиза Абдишукировна</t>
  </si>
  <si>
    <t>Жумадиллаев Элдар Паччаханович</t>
  </si>
  <si>
    <t>Нұржігіт Сабира Ерболқызы</t>
  </si>
  <si>
    <t>Құлбатыр  Рахман</t>
  </si>
  <si>
    <t>Бухарбаев Дамир Нурмаханович</t>
  </si>
  <si>
    <t>Бос орын</t>
  </si>
  <si>
    <t>Тарих пәні мұғалімі</t>
  </si>
  <si>
    <t>Физика пәнінің мұғалімі</t>
  </si>
  <si>
    <t>Биология пәнінің мұғалімі</t>
  </si>
  <si>
    <t>Қазақ тілі пәнінің мұғалімі</t>
  </si>
  <si>
    <t>орыс тілі  пәнінің мұғалімі</t>
  </si>
  <si>
    <t>Ағылшын  тілі пәнінің мұғалімі</t>
  </si>
  <si>
    <t xml:space="preserve">биология пәнінің мұғалімі </t>
  </si>
  <si>
    <t>Өзін өзі пәнінің мұғалімі</t>
  </si>
  <si>
    <t>Ән-кyй пәнінің мұғалім</t>
  </si>
  <si>
    <t>Физика пәнінің ағылшын тілінде беретін мұалімі</t>
  </si>
  <si>
    <t>өзін өзі тану пәнінің мұғалімі</t>
  </si>
  <si>
    <t>Тарих пәнінің мұғалім</t>
  </si>
  <si>
    <t>Бастапқы  әскери дайындық пәнінің  мұғалімі</t>
  </si>
  <si>
    <t>География пәнінің мұғалімі</t>
  </si>
  <si>
    <t>Физика пәнінінің мұғалімі</t>
  </si>
  <si>
    <t>Математика пәнінің мұғалімі</t>
  </si>
  <si>
    <t>Информатика пәнінің мұғалім</t>
  </si>
  <si>
    <t>Ағылшын тілі пәнінің мұғалімі</t>
  </si>
  <si>
    <t>Химия пәнінің мұғалімі</t>
  </si>
  <si>
    <t>химия  пәнінің мұғалімі</t>
  </si>
  <si>
    <t>"Шабыт" драма үйірмесі</t>
  </si>
  <si>
    <t>Тарих пәнінің мұғалімі</t>
  </si>
  <si>
    <t>Еңбек пәнінің мұғалім</t>
  </si>
  <si>
    <t>Дене шынықтыру мұғалім</t>
  </si>
  <si>
    <t>тарих пәнінің мұғалімі</t>
  </si>
  <si>
    <t xml:space="preserve">математика  пәнінің мұғалімі </t>
  </si>
  <si>
    <t>Қазақ тілі мен әдебиеті пәнінің мұғалімі</t>
  </si>
  <si>
    <t xml:space="preserve">ағылшын тілі пәнінің мұғалімі </t>
  </si>
  <si>
    <t>ағылшын тілі пәнінің мұғалімі</t>
  </si>
  <si>
    <t>химия пәнінің мұғалімі</t>
  </si>
  <si>
    <t>Информатика пәнінін агылшын тілі мұғалімі</t>
  </si>
  <si>
    <t>математика пәнінің мұғалім</t>
  </si>
  <si>
    <t>B-2-1</t>
  </si>
  <si>
    <t>B-2-4</t>
  </si>
  <si>
    <t>В-2-1</t>
  </si>
  <si>
    <t>B-2-3</t>
  </si>
  <si>
    <t>B-2-2</t>
  </si>
  <si>
    <t>В-2-2</t>
  </si>
  <si>
    <t>В-2-4</t>
  </si>
  <si>
    <t>В-2-3</t>
  </si>
  <si>
    <t>Ғылыми инновациялық  ісі жөніндегі орынбасары</t>
  </si>
  <si>
    <t xml:space="preserve">Оқу ісі жөніндегі орынбасары </t>
  </si>
  <si>
    <t xml:space="preserve"> Директордың шет тілі жөніндегі орынбасары</t>
  </si>
  <si>
    <t>Мәлікайдар Шоқан</t>
  </si>
  <si>
    <t>Тәрбие ісі жөніндегі орынбасары</t>
  </si>
  <si>
    <t>Балабаев Болысбек Жапбарович</t>
  </si>
  <si>
    <t xml:space="preserve">Мирзабаева Раушан Уразгалиевна </t>
  </si>
  <si>
    <t xml:space="preserve">Шаруашылық ісі жөніндегі орынбасары                                   </t>
  </si>
  <si>
    <t>Мамраимов Мурат Абдуахитулы</t>
  </si>
  <si>
    <t>Ермаханова Алия Жолдасбаевна</t>
  </si>
  <si>
    <t>Есепші</t>
  </si>
  <si>
    <t>Байгабулова Мадина Серікқызы</t>
  </si>
  <si>
    <t>Шаруашылық меңгерушісі</t>
  </si>
  <si>
    <t>АӘД ұйымдастырушы ұстазы</t>
  </si>
  <si>
    <t>Назиров Ерлан Патшаханович</t>
  </si>
  <si>
    <t>Педагог психолог</t>
  </si>
  <si>
    <t>Жұмаділова  Балнур</t>
  </si>
  <si>
    <t>Әлеуметтік педагог</t>
  </si>
  <si>
    <t>Кенжиева Айгуль Кизатовна</t>
  </si>
  <si>
    <t>Музыкалық жетекшісі</t>
  </si>
  <si>
    <t>Алтеков Галымжан Абилханович</t>
  </si>
  <si>
    <t>Үйірме жетекшісі</t>
  </si>
  <si>
    <t>Дәрігер</t>
  </si>
  <si>
    <t>Ерғалиева Жанат Сәрсенбайқызы</t>
  </si>
  <si>
    <t xml:space="preserve">Мейірбике </t>
  </si>
  <si>
    <t>Дадабаева Айнур Темирхановна</t>
  </si>
  <si>
    <t>Куздеубаева Ажар Ерболқызы</t>
  </si>
  <si>
    <t>Зертханашы</t>
  </si>
  <si>
    <t>Умирзакова Жазира Умирбаевна</t>
  </si>
  <si>
    <t>Умбетов Руслан</t>
  </si>
  <si>
    <t>Жумагул Жасулан</t>
  </si>
  <si>
    <t>Бухарбаев Дамир</t>
  </si>
  <si>
    <t>Усипбеков Асқаржан Суттибекович</t>
  </si>
  <si>
    <t>Мамешова Улжалғас Абамуслимовна</t>
  </si>
  <si>
    <t xml:space="preserve">Интернат меңгерушісі                                </t>
  </si>
  <si>
    <t>Есбола Жақсыгул</t>
  </si>
  <si>
    <t>Кітапхана меңгерушісі</t>
  </si>
  <si>
    <t>Мырзалиева Динара Рсмбетовна</t>
  </si>
  <si>
    <t>Кітапханашы</t>
  </si>
  <si>
    <t>Мырзалиева Динара Рсметовна</t>
  </si>
  <si>
    <t>Техника жөніндегі инженер</t>
  </si>
  <si>
    <t>Парпиев Иззатилла</t>
  </si>
  <si>
    <t>Менеджер</t>
  </si>
  <si>
    <t>Урумбаев Кайрат Есенгельдиевич</t>
  </si>
  <si>
    <t>Кадр мәселе. жөн. инспектор</t>
  </si>
  <si>
    <t>Жаримбетова Айнаш Халмаханбетовна</t>
  </si>
  <si>
    <t>Оқу бөлім хатшысы</t>
  </si>
  <si>
    <t>Нұржанбаева  Айгерім</t>
  </si>
  <si>
    <t>Іс қағаздарын жүргізуші</t>
  </si>
  <si>
    <t>Жумадилаев Эльдар</t>
  </si>
  <si>
    <t>тәрбиеші</t>
  </si>
  <si>
    <t>Естаева Нуржамал Баилбековна</t>
  </si>
  <si>
    <t>Дуйсенова Кулзада Казыкызы</t>
  </si>
  <si>
    <t>Елібай Айнұр Қалиқызы</t>
  </si>
  <si>
    <t>Тулемисова Кенжегуль Жанабергеновна</t>
  </si>
  <si>
    <t>Орхашова Гульнур Онласбековна</t>
  </si>
  <si>
    <t>Акпанова Сарсенкул Бердимуратовна</t>
  </si>
  <si>
    <t>Алтаева Гулжаудыр Бейсенбаевна</t>
  </si>
  <si>
    <t>Исаханова Дидар Абдрахмановна</t>
  </si>
  <si>
    <t>Бердалиева Аймкул Абдрахмановна</t>
  </si>
  <si>
    <t>Макулбекова Салтанат Берстемовна</t>
  </si>
  <si>
    <t>Сарыпбек Жәмила Мырзағалиқызы</t>
  </si>
  <si>
    <t>Боранбаева Гулнара Аскарбековна</t>
  </si>
  <si>
    <t>Сапарбаева Айгуль Тилеулескызы</t>
  </si>
  <si>
    <t>Турдиева Орынкул Акжоловна</t>
  </si>
  <si>
    <t>Ахметова Мадина Абайовна</t>
  </si>
  <si>
    <t>Токтарова Ляззат Турегельдиевна</t>
  </si>
  <si>
    <t>Садибекова Фатима Ергенбаевна</t>
  </si>
  <si>
    <t>Исмадиярова Раушан Шарифжановна</t>
  </si>
  <si>
    <t>Баймуратова Акжанат Амангелдиевна</t>
  </si>
  <si>
    <t>Данеева Молдир Махамбетовна</t>
  </si>
  <si>
    <t>Тотыбекова Нургул Тойлыбековна</t>
  </si>
  <si>
    <t>ДАРМЕНОВА АКБОТА ИСАБЕКОВНА</t>
  </si>
  <si>
    <t>Насиридинова Куланда Ибрахымовна</t>
  </si>
  <si>
    <t xml:space="preserve">Жаманкулова Гулжан Балкыбеккызы </t>
  </si>
  <si>
    <t>Тастанова Райхан</t>
  </si>
  <si>
    <t>Спатаева Баян</t>
  </si>
  <si>
    <t>Алдиева А</t>
  </si>
  <si>
    <t>тәрбиеші көмекшісі</t>
  </si>
  <si>
    <t>Исаева Багила Мусаевна</t>
  </si>
  <si>
    <t>Ильясова Эльмира Насырхановна</t>
  </si>
  <si>
    <t>Байганаева Насиба Сайрамбаевна</t>
  </si>
  <si>
    <t>Маханова Орал Балтабаевна</t>
  </si>
  <si>
    <t>Бейсебаева Дамира Камбарбековна</t>
  </si>
  <si>
    <t>Сатиева Салима</t>
  </si>
  <si>
    <t>Битұрсын Айымкүл Сбанбекқызы</t>
  </si>
  <si>
    <t>Бейсебаева Джамила</t>
  </si>
  <si>
    <t>Аббасова Гулнар</t>
  </si>
  <si>
    <t>Ақмурзина Набат</t>
  </si>
  <si>
    <t>Утельбаева Гульмира Сырлыбековна</t>
  </si>
  <si>
    <t>Керимбекова Гулнар Тастыбаевна</t>
  </si>
  <si>
    <t>Кіші мед. персонал</t>
  </si>
  <si>
    <t>Естебек Гулсім Тұрғанбекқызы</t>
  </si>
  <si>
    <t>Айдар Қаламқас</t>
  </si>
  <si>
    <t>Хатшы</t>
  </si>
  <si>
    <t>Утенова Диана</t>
  </si>
  <si>
    <t>Сантехник</t>
  </si>
  <si>
    <t>Самбаев Рустем Пердеханұлы</t>
  </si>
  <si>
    <t>Ағаш ұстасы</t>
  </si>
  <si>
    <t>Егизбеков Алпысбай Ташкенбаевич</t>
  </si>
  <si>
    <t>Кастелянша</t>
  </si>
  <si>
    <t>үй-жайларын тазалаушы</t>
  </si>
  <si>
    <t>Алекеева Данекуль Акжигитовна</t>
  </si>
  <si>
    <t>Бохаева Жансулу Жуматаевна.</t>
  </si>
  <si>
    <t>Тазабекова Айжан</t>
  </si>
  <si>
    <t>Сәрсенбаева Акжаркин Тогайбаевна</t>
  </si>
  <si>
    <t>Омарова Сандуғаш Ізетуллақызы</t>
  </si>
  <si>
    <t>Раева Раушан  Алихановна</t>
  </si>
  <si>
    <t>Шекербекова Лаззат Аблашовна</t>
  </si>
  <si>
    <t>Момекова Урлаим Тогайбаевна</t>
  </si>
  <si>
    <t>Асабаева Назира</t>
  </si>
  <si>
    <t>Ратанова Бибішай</t>
  </si>
  <si>
    <t>Буктербаева Еңілік</t>
  </si>
  <si>
    <t>Кір жуатын жұмысшы</t>
  </si>
  <si>
    <t>Халшураева Айжамал Жанбаровна</t>
  </si>
  <si>
    <t>Ғимаратты кешенді қызмет көрсететін жұмысшы</t>
  </si>
  <si>
    <t>Оразбаев Асилбек Баймурзаулы</t>
  </si>
  <si>
    <t>Көкенов Нияз</t>
  </si>
  <si>
    <t>Шинаров Бекжан</t>
  </si>
  <si>
    <t>Аула сыпырушы</t>
  </si>
  <si>
    <t>Рахманов Кенжебек</t>
  </si>
  <si>
    <t>Кіші қазандық операторы</t>
  </si>
  <si>
    <t>Кузетші</t>
  </si>
  <si>
    <t>Жаркинбеков Турганали</t>
  </si>
  <si>
    <t>Асанов Абдуаль Досанович.</t>
  </si>
  <si>
    <t>Егизбеков Багдат Ташкенбаевич</t>
  </si>
  <si>
    <t>Қилыбаев Марат</t>
  </si>
  <si>
    <t>Назар Нұрым</t>
  </si>
  <si>
    <t>Таджиков Нақыпбек</t>
  </si>
  <si>
    <t>Вахтер</t>
  </si>
  <si>
    <t>Сеитсултанова Жанар Тогайбаевна</t>
  </si>
  <si>
    <t>Бектаев Әлібек</t>
  </si>
  <si>
    <t>Электрик</t>
  </si>
  <si>
    <t>Жақсыбаев Нұржан</t>
  </si>
  <si>
    <t>Көлік жүргізуші</t>
  </si>
  <si>
    <t>Аривист</t>
  </si>
  <si>
    <t>А-1-2</t>
  </si>
  <si>
    <t>А-1-2-1</t>
  </si>
  <si>
    <t>А-2-2</t>
  </si>
  <si>
    <t>C-2</t>
  </si>
  <si>
    <t>С-3</t>
  </si>
  <si>
    <t>В-3-1</t>
  </si>
  <si>
    <t>В-4-1</t>
  </si>
  <si>
    <t>В-4-4</t>
  </si>
  <si>
    <t>B-3-1</t>
  </si>
  <si>
    <t>B-3-2</t>
  </si>
  <si>
    <t>B-3-3</t>
  </si>
  <si>
    <t>B-3-4</t>
  </si>
  <si>
    <t>В-3-3</t>
  </si>
  <si>
    <t>басқармасының "М.Тасова атындағы</t>
  </si>
  <si>
    <t xml:space="preserve">үш тілде оқытатын мамандандырылған </t>
  </si>
  <si>
    <t>№12 мектеп-интернат КММ-нің директоры</t>
  </si>
  <si>
    <t>________________  Ғ.З. Өскенбай</t>
  </si>
  <si>
    <t xml:space="preserve">"___"_____________ 2022ж. </t>
  </si>
  <si>
    <t>Өскенбай   Ғ</t>
  </si>
  <si>
    <t>Оспанов С</t>
  </si>
  <si>
    <t>Тогуспаева П</t>
  </si>
  <si>
    <t>Жаримбетова А</t>
  </si>
  <si>
    <t>Ермаханова А</t>
  </si>
  <si>
    <t>басқармасының  "М.Тасова атындағы</t>
  </si>
  <si>
    <t>№12 мектеп-интернат КММ-нің  директоры</t>
  </si>
  <si>
    <t>_____________ Ғ.З.Өскенбай</t>
  </si>
  <si>
    <t>оқушылар саны 01.01.2022ж.</t>
  </si>
  <si>
    <t>кл. Компл. Саны 01.01.2022ж.</t>
  </si>
  <si>
    <t>сынып саны 01.01.2022ж.</t>
  </si>
  <si>
    <t xml:space="preserve">
жоғары</t>
  </si>
  <si>
    <t xml:space="preserve"> орта арнаулы</t>
  </si>
  <si>
    <t>орта</t>
  </si>
  <si>
    <t>арнаулы орта</t>
  </si>
  <si>
    <t>ғимарат саны</t>
  </si>
  <si>
    <t>ғимараттың тазаланатың алаңы</t>
  </si>
  <si>
    <t>шаршы метр</t>
  </si>
  <si>
    <t>8500 м2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</si>
  <si>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тарификациялау тізімі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</si>
  <si>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</si>
  <si>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1 ж дейн</t>
  </si>
  <si>
    <t>1 ж дейін</t>
  </si>
  <si>
    <t>18 жыл</t>
  </si>
  <si>
    <t>26 жыл 4 ай</t>
  </si>
  <si>
    <t>19 жыл 5 ай</t>
  </si>
  <si>
    <t>12 жыл 3 ай</t>
  </si>
  <si>
    <t>28 жыл 2 ай</t>
  </si>
  <si>
    <t>16 жыл 2 ай</t>
  </si>
  <si>
    <t>7 жыл 1 ай</t>
  </si>
  <si>
    <t>18 жыл 8 ай</t>
  </si>
  <si>
    <t>6 жыл</t>
  </si>
  <si>
    <t>25 жыл</t>
  </si>
  <si>
    <t>2 жыл 4 ай</t>
  </si>
  <si>
    <t>4 ай</t>
  </si>
  <si>
    <t>13 жыл 3 ай</t>
  </si>
  <si>
    <t>31 жыл 4 ай</t>
  </si>
  <si>
    <t>32 жыл</t>
  </si>
  <si>
    <t>22 жыл 1 ай</t>
  </si>
  <si>
    <t>15 жыл 9 ай</t>
  </si>
  <si>
    <t>10 жыл 1 ай</t>
  </si>
  <si>
    <t>10 жыл 4 ай</t>
  </si>
  <si>
    <t>7 жыл 4 ай</t>
  </si>
  <si>
    <t>12 жыл 4 ай</t>
  </si>
  <si>
    <t>33 жыл 2 ай</t>
  </si>
  <si>
    <t>28 жыл 5 ай</t>
  </si>
  <si>
    <t>11 жыл 1 ай</t>
  </si>
  <si>
    <t>3 жыл 6 ай</t>
  </si>
  <si>
    <t>11 жыл 4 ай</t>
  </si>
  <si>
    <t>8 жыл 9 ай</t>
  </si>
  <si>
    <t>31 жыл 9 ай</t>
  </si>
  <si>
    <t>27 жыл 9 ай</t>
  </si>
  <si>
    <t>19 жыл 7 ай</t>
  </si>
  <si>
    <t>16 жыл 4 ай</t>
  </si>
  <si>
    <t>13 жыл 9 ай</t>
  </si>
  <si>
    <t>24 жыл 3 ай</t>
  </si>
  <si>
    <t>18 жыл 4 ай</t>
  </si>
  <si>
    <t>19 жыл 4 ай</t>
  </si>
  <si>
    <t>19 жыл 1 ай</t>
  </si>
  <si>
    <t>16 жыл 3 ай</t>
  </si>
  <si>
    <t>15 жыл 5 ай</t>
  </si>
  <si>
    <t>28 жыл 3 ай</t>
  </si>
  <si>
    <t>15 жыл 8 ай</t>
  </si>
  <si>
    <t>15 жыл 3 ай</t>
  </si>
  <si>
    <t>14 жыл 3 ай</t>
  </si>
  <si>
    <t>11 жыл 5 ай</t>
  </si>
  <si>
    <t>11 жыл 3 ай</t>
  </si>
  <si>
    <t>8 жыл 5 ай</t>
  </si>
  <si>
    <t>11 жыл 7 ай</t>
  </si>
  <si>
    <t>15 жыл 6 ай</t>
  </si>
  <si>
    <t>22 жыл 9 ай</t>
  </si>
  <si>
    <t>20 жыл 3 ай</t>
  </si>
  <si>
    <t>17 жыл 5 ай</t>
  </si>
  <si>
    <t>14 жыл 9 ай</t>
  </si>
  <si>
    <t>17 жыл 8 ай</t>
  </si>
  <si>
    <t>30 жыл 2 ай</t>
  </si>
  <si>
    <t>9 жыл</t>
  </si>
  <si>
    <t>11 жыл 8 ай</t>
  </si>
  <si>
    <t>27 жыл 4 ай</t>
  </si>
  <si>
    <t>39 жыл 3 ай</t>
  </si>
  <si>
    <t>17 жыл 6 ай</t>
  </si>
  <si>
    <t>33 жыл 1 ай</t>
  </si>
  <si>
    <t>32 жыл 2 ай</t>
  </si>
  <si>
    <t>27 жыл 3 ай</t>
  </si>
  <si>
    <t>26 жыл 3 ай</t>
  </si>
  <si>
    <t>35 жыл</t>
  </si>
  <si>
    <t>4 жыл 4 ай</t>
  </si>
  <si>
    <t>32 жыл 1 ай</t>
  </si>
  <si>
    <t>5 ай</t>
  </si>
  <si>
    <t>15 жыл 10 ай</t>
  </si>
  <si>
    <t>21 жыл 9 ай</t>
  </si>
  <si>
    <t>22 жыл 4 ай</t>
  </si>
  <si>
    <t>21 жыл 2 ай</t>
  </si>
  <si>
    <t>20 жыл 4 ай</t>
  </si>
  <si>
    <t>16 жыл 8 ай</t>
  </si>
  <si>
    <t>18 жыл 5 ай</t>
  </si>
  <si>
    <t>21 жыл 3 ай</t>
  </si>
  <si>
    <t>20 жыл 2 ай</t>
  </si>
  <si>
    <t>17 жыл</t>
  </si>
  <si>
    <t>9 жыл 1 ай</t>
  </si>
  <si>
    <t>31 жыл 8 ай</t>
  </si>
  <si>
    <t>3 жыл 8 ай</t>
  </si>
  <si>
    <t>16 жыл 1 ай</t>
  </si>
  <si>
    <t>13 жыл 4 ай</t>
  </si>
  <si>
    <t>10 жыл 2 ай</t>
  </si>
  <si>
    <t>4 жыл 1 ай</t>
  </si>
  <si>
    <t>8 жыл 4 ай</t>
  </si>
  <si>
    <t>7 жыл 8 ай</t>
  </si>
  <si>
    <t>6 жыл 3 ай</t>
  </si>
  <si>
    <t>4 жыл 3 ай</t>
  </si>
  <si>
    <t>3 жыл 3 ай</t>
  </si>
  <si>
    <t>12 жыл 9 ай</t>
  </si>
  <si>
    <t>1 жыл 4 ай</t>
  </si>
  <si>
    <t>18 жыл 7 ай</t>
  </si>
  <si>
    <t>3 жыл 4 ай</t>
  </si>
  <si>
    <t>2 ай</t>
  </si>
  <si>
    <t>8 жыл 1 ай</t>
  </si>
  <si>
    <t>3 ай</t>
  </si>
  <si>
    <t>7-10 жж</t>
  </si>
  <si>
    <t>"Келісілген"</t>
  </si>
  <si>
    <t xml:space="preserve"> басқармасы басшысының </t>
  </si>
  <si>
    <t>орынбасары</t>
  </si>
  <si>
    <t>___________________А.Өсербаев</t>
  </si>
  <si>
    <t>"___"________________ 2022ж.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</si>
  <si>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штат кестесі</t>
  </si>
  <si>
    <t>мұғалімдер</t>
  </si>
  <si>
    <t>Бас есепші:                              Ермаханова А.Ж.</t>
  </si>
  <si>
    <t>Директордың оқу ісі жөніндегі орынбасары</t>
  </si>
  <si>
    <t>Директордың тәрбие ісі жөніндегі орынбасары</t>
  </si>
  <si>
    <t>Директордың шаруашылық жөніндегі орынбасары</t>
  </si>
  <si>
    <t>Педагог-психолог</t>
  </si>
  <si>
    <t>Тәрбиеші</t>
  </si>
  <si>
    <t>Еден жуушы</t>
  </si>
  <si>
    <t>1-4 сыныптар</t>
  </si>
  <si>
    <t xml:space="preserve">сағ            І-ІV  </t>
  </si>
  <si>
    <t xml:space="preserve">  І-ІV  </t>
  </si>
  <si>
    <t>Сынып жетекшілігі үшін</t>
  </si>
  <si>
    <t>5-11 сыныптар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</si>
  <si>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</si>
  <si>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</si>
  <si>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 xml:space="preserve"> кабин меңгерушісі </t>
  </si>
  <si>
    <t>ағылшын тілінде сабақ жүргізгеніне</t>
  </si>
  <si>
    <t>сомма</t>
  </si>
  <si>
    <t xml:space="preserve">сағат            </t>
  </si>
  <si>
    <t>ағылшын тілі</t>
  </si>
  <si>
    <t>бастауыш</t>
  </si>
  <si>
    <t>химия</t>
  </si>
  <si>
    <t>тарих</t>
  </si>
  <si>
    <t>орыс тілі</t>
  </si>
  <si>
    <t>биология</t>
  </si>
  <si>
    <t xml:space="preserve">физика </t>
  </si>
  <si>
    <t>математика</t>
  </si>
  <si>
    <t xml:space="preserve">география </t>
  </si>
  <si>
    <t>АӘД</t>
  </si>
  <si>
    <t>жоғ</t>
  </si>
  <si>
    <t>А1-3</t>
  </si>
  <si>
    <t>А1-3-1</t>
  </si>
  <si>
    <t>А2-3</t>
  </si>
  <si>
    <t>В2-4</t>
  </si>
  <si>
    <t>Вакант</t>
  </si>
  <si>
    <t>вахтер</t>
  </si>
  <si>
    <t xml:space="preserve">орта арнаулы </t>
  </si>
  <si>
    <t>Педогог-кәсіби багдар</t>
  </si>
  <si>
    <t>Дүйсенбеков Әділбек Лесұлы</t>
  </si>
  <si>
    <t>Алдияров Рахмедияр Жақсыұлы</t>
  </si>
  <si>
    <t>Суханова Алтынай Абдрамановна</t>
  </si>
  <si>
    <t>мұғалім</t>
  </si>
  <si>
    <t>Тельгозина Айгул Утегеноввна</t>
  </si>
  <si>
    <t>Исмаилова Чешми Салваровна</t>
  </si>
  <si>
    <t>Женсикбаева Айнур Сырлыбаевна</t>
  </si>
  <si>
    <t>Шымырбаев Ауезхан Абдибекович</t>
  </si>
  <si>
    <t>Абдикулов Бақберди Бауыржанович</t>
  </si>
  <si>
    <t>Рыскулова Зульфия Русметовна</t>
  </si>
  <si>
    <t>Сабыр Әсем Сейд-Бурханқызы</t>
  </si>
  <si>
    <t>психолог</t>
  </si>
  <si>
    <t>Абылаева Камшат Нышанханқызы</t>
  </si>
  <si>
    <t>Агибаев Айшуақ Иманшамилұлы</t>
  </si>
  <si>
    <t>Альходжаева Мира Шакратовна</t>
  </si>
  <si>
    <t>Аманбаев Болат Шераұлы</t>
  </si>
  <si>
    <t>Атабекова Күләш Сейдаққызы</t>
  </si>
  <si>
    <t>Әлсейіт Айдар Батырұлы</t>
  </si>
  <si>
    <t>Байтуова Гүлнар Жарылқасқызы</t>
  </si>
  <si>
    <t>Бақкелдиева Ақмарал Сансызбайқызы</t>
  </si>
  <si>
    <t>музыка</t>
  </si>
  <si>
    <t>Батыр Есен Айдарұлы</t>
  </si>
  <si>
    <t>Бегалиева Айнур Амангелдиевна</t>
  </si>
  <si>
    <t>Габдуллина Зауре Зейнуллаевна</t>
  </si>
  <si>
    <t>Дәділбаев Бақыт Әбдіманапұлы</t>
  </si>
  <si>
    <t>Досмахан Ақерке Диханқызы</t>
  </si>
  <si>
    <t>Думчебаева Алтынай Бекадиловна</t>
  </si>
  <si>
    <t>Жақсылық Меруерт Мұратқызы</t>
  </si>
  <si>
    <t>Жунисова Айгуль Изатуллаевна</t>
  </si>
  <si>
    <t>Ивахнов Александр Николаевич</t>
  </si>
  <si>
    <t>Илешова Қарашаш Мусабековна</t>
  </si>
  <si>
    <t>информатика</t>
  </si>
  <si>
    <t>Исмаилова Ширин Сальваровна</t>
  </si>
  <si>
    <t>Калмурзаева Карима Рамазанқызы</t>
  </si>
  <si>
    <t>Камбарова Жазира Абилдақызы</t>
  </si>
  <si>
    <t>Қаспахбаева Айнур Сапаралықы</t>
  </si>
  <si>
    <t>Кемелов Құрманғали Тасболатұлы</t>
  </si>
  <si>
    <t>Қожамқұлова Жайна Есенгелдиқызы</t>
  </si>
  <si>
    <t>Қосмұратова Гаухар Салбековна</t>
  </si>
  <si>
    <t>Қошқарбаева Мейркул Биболатовна</t>
  </si>
  <si>
    <t>Қабылбекова Перизат Әлібекқызы</t>
  </si>
  <si>
    <t>Құдайқұл Айдана Бақтығалиқызы</t>
  </si>
  <si>
    <t>Мазманов Ислам Нагиұлы</t>
  </si>
  <si>
    <t>Маймаков Бақыт Тұрсынбекұлы</t>
  </si>
  <si>
    <t>Мамашева Гүлзира Жанболатовна</t>
  </si>
  <si>
    <t>Мамутова Гаухар Жанбырбайқызы</t>
  </si>
  <si>
    <t>Мамутова  Нұржамал Сапарханқызы</t>
  </si>
  <si>
    <t>Мэлсова Элнура Бахриддинқызы</t>
  </si>
  <si>
    <t>Мустафина Жаныл Каламбекқызы</t>
  </si>
  <si>
    <t>Нурлыханова Мухаббат Ушкембаева</t>
  </si>
  <si>
    <t>Омар Рано Камалкызы</t>
  </si>
  <si>
    <t>Омаров Сабыржан Анарбекұлы</t>
  </si>
  <si>
    <t>Оразқұлова Ақбота Сапарханқызы</t>
  </si>
  <si>
    <t>Ошақбаева Салтанат Бактыбайқызы</t>
  </si>
  <si>
    <t>Өтеулиева Перизат Жолыбекқызы</t>
  </si>
  <si>
    <t>Саидов Ихтияр Арзиматович</t>
  </si>
  <si>
    <t>Саидова Тамара Миткеновна</t>
  </si>
  <si>
    <t>Сақтанова Ақбөпе Бердібекқызы</t>
  </si>
  <si>
    <t>Салханова Диана Ойбековна</t>
  </si>
  <si>
    <t>Сардарбек Несібелі Ғаниқызы</t>
  </si>
  <si>
    <t>Сахова Айгүл Жақыпқызы</t>
  </si>
  <si>
    <t>Суханова Әлия Күмісбекқызы</t>
  </si>
  <si>
    <t>Темирбекова Айсұлу Сейлханқызы</t>
  </si>
  <si>
    <t>Толаметова Зарина Хаджимуратовна</t>
  </si>
  <si>
    <t>Тургунбаева Мадина Есенбекқызы</t>
  </si>
  <si>
    <t>Шадиев Рустамбек Бекзатович</t>
  </si>
  <si>
    <t>Шыналиева Гүлжан Отаровна</t>
  </si>
  <si>
    <t>Юсупова Рана Улугбекқызы</t>
  </si>
  <si>
    <t>Мустафаев Рақымжан Арипбекович</t>
  </si>
  <si>
    <t>еңбек</t>
  </si>
  <si>
    <t>вакант</t>
  </si>
  <si>
    <t>В2-1</t>
  </si>
  <si>
    <t>"БЕКІТЕМІН"</t>
  </si>
  <si>
    <t xml:space="preserve">Түркістан облысы, Төлеби ауданы  </t>
  </si>
  <si>
    <t>дене/ш</t>
  </si>
  <si>
    <t>қазақ тілі/әд</t>
  </si>
  <si>
    <t xml:space="preserve">сағ        V-IX   </t>
  </si>
  <si>
    <t xml:space="preserve">сағ                 X-XI   </t>
  </si>
  <si>
    <t>модератор                              30%</t>
  </si>
  <si>
    <t>Алдияров Рахимедияр Жақсыұлы</t>
  </si>
  <si>
    <t>Исмаилова Чешми Сальваровна</t>
  </si>
  <si>
    <t>Тельгозина Айгуль Утегеновна</t>
  </si>
  <si>
    <r>
      <t xml:space="preserve">Сыныптық біліктілігі үшін 
</t>
    </r>
    <r>
      <rPr>
        <b/>
        <i/>
        <sz val="12"/>
        <rFont val="Times New Roman"/>
        <family val="1"/>
        <charset val="204"/>
      </rPr>
      <t>(жүргізушілер)</t>
    </r>
  </si>
  <si>
    <t>Женсикбаева Айнұр Сырлыбаевана</t>
  </si>
  <si>
    <t>АӘ ж/е ТД меңгеруші-педагог</t>
  </si>
  <si>
    <t>Жанибеков Бигали Жанибекович</t>
  </si>
  <si>
    <t>Мамадалиева Огулжан Турдыбаевна</t>
  </si>
  <si>
    <t>Педагог-ұйымдастырушы</t>
  </si>
  <si>
    <t>Қосымша білім беру педагогы</t>
  </si>
  <si>
    <t>В3-2</t>
  </si>
  <si>
    <t>арн орта</t>
  </si>
  <si>
    <t xml:space="preserve">Мамутова Дария </t>
  </si>
  <si>
    <t>Дүйсебаева Нағима Шупшековна</t>
  </si>
  <si>
    <t>Іс қағаз жүргізуші</t>
  </si>
  <si>
    <t xml:space="preserve">D                                               </t>
  </si>
  <si>
    <t>Узбекова Нұрхамал Койтаевна</t>
  </si>
  <si>
    <t>Хайтметов Хусен</t>
  </si>
  <si>
    <t>Тавлиев Ибрай Ибраевич</t>
  </si>
  <si>
    <t>жұмысшы</t>
  </si>
  <si>
    <t>Абдусаттарова Гузал Расулматовна</t>
  </si>
  <si>
    <t>Айтмирзаева Асия Алпысбаевна</t>
  </si>
  <si>
    <t>Бертаева Ұлжан Ерболатовна</t>
  </si>
  <si>
    <t>Жанибекова Айнур Николаевна</t>
  </si>
  <si>
    <t>Койгельдина Рахима Усмановна</t>
  </si>
  <si>
    <t>Кульчикова Батпа Серикбаевна</t>
  </si>
  <si>
    <t xml:space="preserve">Құрбанова Лаззат </t>
  </si>
  <si>
    <t>Нагузалоглы Айша</t>
  </si>
  <si>
    <t>Сұлтанбекова Раушангүл Сапаралиевна</t>
  </si>
  <si>
    <t>Тлегенова Жанар</t>
  </si>
  <si>
    <t>Юсупова Сабина Гамандаровна</t>
  </si>
  <si>
    <t>Ташибай Зинатай Қайнаржановна</t>
  </si>
  <si>
    <t>Тажиева Рахат Тілеубаевна</t>
  </si>
  <si>
    <t>Укубаева Мөлдіркөз Рысыметқызы</t>
  </si>
  <si>
    <t>Ережепова Гүлжанат Есимхановна</t>
  </si>
  <si>
    <t>Дефоктолог</t>
  </si>
  <si>
    <t>Басшы лауазымы 30%, 50%, 100%</t>
  </si>
  <si>
    <t>Оператор</t>
  </si>
  <si>
    <t>Тәлімгер</t>
  </si>
  <si>
    <t>"КЕЛІСЕМІН"</t>
  </si>
  <si>
    <t>Серых Наталья Ивановна</t>
  </si>
  <si>
    <t>тарих/ геог</t>
  </si>
  <si>
    <t>қазақ тілі/ әд</t>
  </si>
  <si>
    <t>Зияндық үшін 40% (арнайы сыныпта жұмыс)</t>
  </si>
  <si>
    <t>Бас есепші:                                                                     А.Кипшаков</t>
  </si>
  <si>
    <t>__________   Ә.Дүйсенбеков</t>
  </si>
  <si>
    <t>Умар Юлдуз Юсупалиқызы</t>
  </si>
  <si>
    <t>7ай</t>
  </si>
  <si>
    <t>Әскер Нұрболат Жолдасұлы</t>
  </si>
  <si>
    <t>Шорбасова Гаухар Мухитовна</t>
  </si>
  <si>
    <t>Ахметов Азамат Ақжолұлы</t>
  </si>
  <si>
    <t>Үшкемпір Айдана Кенжебекқызы</t>
  </si>
  <si>
    <t>Варзилова Чиман Мурадовна</t>
  </si>
  <si>
    <t>Сейдалы Айдана Мухтарқызы</t>
  </si>
  <si>
    <t xml:space="preserve">білім бөлімінің </t>
  </si>
  <si>
    <t>__________    Б. Тойлыбаев</t>
  </si>
  <si>
    <t>білім бөлімінің басшысы міндетін атқарушы</t>
  </si>
  <si>
    <t xml:space="preserve">"Жеңіс ЖББМ" КММ директоры </t>
  </si>
  <si>
    <t>оқушылар саны 01.09.2023ж.</t>
  </si>
  <si>
    <t>кл. компл. саны 01.09.2023ж.</t>
  </si>
  <si>
    <t>Темирбаева Шингис Анарбекұлы</t>
  </si>
  <si>
    <t>Есепші:                                                                            Л. Тныштыхбаева</t>
  </si>
  <si>
    <t>Оқу ісі жөніндегі орынбасары:                                     Р. Алдияров</t>
  </si>
  <si>
    <t xml:space="preserve">Экономист:                                                                     М.Байжігіт                                  </t>
  </si>
  <si>
    <t>Түркістан облысы, Төлеби ауданы білім  бөлімінің "Жеңіс ЖББМ" КММ
мұғалімдерінің   1 қыркүйектегі 2023 жылдын  тарификациялау тізімі</t>
  </si>
  <si>
    <t>Түркістан облысы, Төлеби ауданы білм бөлімінің "Жеңіс ЖББМ" КММ-нің 
әкімшілік және азаматтық қызметкерлерінің   1 қыркүйектегі 2023 жылдын  тарификациялау тізімі</t>
  </si>
  <si>
    <t xml:space="preserve">Абдусаттаров Гуломжан </t>
  </si>
  <si>
    <t>Электромонтер</t>
  </si>
  <si>
    <t>Жұмысшы</t>
  </si>
  <si>
    <t>Алдияров Бақтияр Жақсыұлы</t>
  </si>
  <si>
    <t>В3-1</t>
  </si>
  <si>
    <t>В3-3</t>
  </si>
  <si>
    <t>В4-4</t>
  </si>
  <si>
    <t>Қарауыл</t>
  </si>
  <si>
    <t>Байымбетов Бекболат Зиятханұлы</t>
  </si>
  <si>
    <t>Ботаназаров Мурат Алтынбекұлы</t>
  </si>
  <si>
    <t>Туменбаев Адилбай Тагабайулы</t>
  </si>
  <si>
    <t>Түркістан облысы, Төлеби ауданы білм бөлімінің "Жеңіс ЖББМ" КММ-нің 
әкімшілік және азаматтық қызметкерлерінің   қазан 2023 жылдын қайта тарификациялау тізімі</t>
  </si>
  <si>
    <t>білім бөлімінің басшысы</t>
  </si>
  <si>
    <t>Джадраева Нурсулу Абдрахмановна</t>
  </si>
  <si>
    <t>Өсер Ерқанат Ахметжанұлы</t>
  </si>
  <si>
    <t>Байнусипова Сабина Жумабаевна</t>
  </si>
  <si>
    <t>Мамадалиева Огулжан Турдуваевна</t>
  </si>
  <si>
    <t>пед-психолог</t>
  </si>
  <si>
    <t>Түркістан облысы, Төлеби ауданы білм бөлімінің "Жеңіс ЖББМ" КММ-нің 
әкімшілік және азаматтық қызметкерлерінің   3 қаңтардағы 2024 жылдын  тарификациялау тізімі</t>
  </si>
  <si>
    <t>Мелсова Элнура Бахриддинқызы</t>
  </si>
  <si>
    <t>оқушылар саны 03.01.2024ж.</t>
  </si>
  <si>
    <t>кл. компл. саны 03.01.2024ж.</t>
  </si>
  <si>
    <t>Түркістан облысы, Төлеби ауданы білім  бөлімінің "Жеңіс ЖББМ" КММ
мұғалімдерінің   3 қаңтардағы 2024 жылдын  тарификациялау тізімі</t>
  </si>
  <si>
    <t xml:space="preserve">Дезинфекциялау құралдарымен жұмыс 20% </t>
  </si>
  <si>
    <t>Түнгі уақытта жұмыс істегені үшін 50%</t>
  </si>
  <si>
    <t xml:space="preserve">Есепші:                                                                             Г.Оспанова                                                                         </t>
  </si>
  <si>
    <t xml:space="preserve">Экономист:                                                                     М.Байжігіт                                                                                                    </t>
  </si>
  <si>
    <t>Асильбаев Касымхан Олегович</t>
  </si>
  <si>
    <t>Нагузал оглы Ахмет Шарипович</t>
  </si>
  <si>
    <t>Ергешов Хавазмет Айтметович</t>
  </si>
  <si>
    <t>Туменбаев Адилбай Тагабайұлы</t>
  </si>
  <si>
    <t>__________   Е. Панзабеков</t>
  </si>
  <si>
    <t>Панзабеков Ерлан Төребекұлы</t>
  </si>
  <si>
    <t>__________   Е.Панзабеков</t>
  </si>
  <si>
    <t>Түркістан облысы, Төлеби ауданы білім  бөлімінің "Жеңіс ЖББМ" КММ
мұғалімдерінің   1 наурыздағы 2024 жылдын қайта тарификациялау тізімі</t>
  </si>
  <si>
    <t>Түркістан облысы, Төлеби ауданы білм бөлімінің "Жеңіс ЖББМ" КММ-нің 
әкімшілік және азаматтық қызметкерлерінің   14 наурыз 2024 жылдын  тарификациялау тізімі</t>
  </si>
  <si>
    <t>Бас есепші:                                                                    А.Кипшаков</t>
  </si>
  <si>
    <t>Оқу ісі жөніндегі орынбасары:                                  Р. Алдияров</t>
  </si>
  <si>
    <t>Есепші:                                                                            Г.Оспанова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</si>
</sst>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"/>
  </numFmts>
  <fonts count="36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0" fillId="0" borderId="0"/>
    <xf numFmtId="0" fontId="10" fillId="0" borderId="0"/>
    <xf numFmtId="164" fontId="1" fillId="0" borderId="0" applyFont="0" applyFill="0" applyBorder="0" applyAlignment="0" applyProtection="0"/>
  </cellStyleXfs>
  <cellXfs count="615">
    <xf numFmtId="0" fontId="0" fillId="0" borderId="0" xfId="0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0" xfId="0" applyNumberFormat="1" applyFont="1" applyFill="1"/>
    <xf numFmtId="9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9" fontId="11" fillId="0" borderId="0" xfId="0" applyNumberFormat="1" applyFont="1" applyFill="1"/>
    <xf numFmtId="9" fontId="3" fillId="0" borderId="0" xfId="0" applyNumberFormat="1" applyFont="1" applyFill="1"/>
    <xf numFmtId="9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0" borderId="0" xfId="0" applyNumberFormat="1" applyFont="1" applyFill="1"/>
    <xf numFmtId="3" fontId="3" fillId="0" borderId="0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/>
    <xf numFmtId="165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6" xfId="1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" fontId="8" fillId="2" borderId="0" xfId="1" applyNumberFormat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" fontId="7" fillId="0" borderId="1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2" fillId="0" borderId="0" xfId="0" applyFont="1" applyFill="1"/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7" fillId="2" borderId="1" xfId="1" applyNumberFormat="1" applyFont="1" applyFill="1" applyBorder="1" applyAlignment="1">
      <alignment horizontal="center" vertical="center"/>
    </xf>
    <xf numFmtId="2" fontId="26" fillId="2" borderId="10" xfId="1" applyNumberFormat="1" applyFont="1" applyFill="1" applyBorder="1" applyAlignment="1">
      <alignment horizontal="center" vertical="center"/>
    </xf>
    <xf numFmtId="2" fontId="26" fillId="2" borderId="4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7" fillId="0" borderId="1" xfId="0" applyNumberFormat="1" applyFont="1" applyFill="1" applyBorder="1"/>
    <xf numFmtId="0" fontId="22" fillId="0" borderId="1" xfId="0" applyFont="1" applyFill="1" applyBorder="1"/>
    <xf numFmtId="3" fontId="2" fillId="0" borderId="1" xfId="0" applyNumberFormat="1" applyFont="1" applyFill="1" applyBorder="1"/>
    <xf numFmtId="1" fontId="7" fillId="0" borderId="1" xfId="0" applyNumberFormat="1" applyFont="1" applyFill="1" applyBorder="1"/>
    <xf numFmtId="0" fontId="9" fillId="0" borderId="0" xfId="5" applyFont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4" fillId="2" borderId="0" xfId="0" applyFont="1" applyFill="1"/>
    <xf numFmtId="165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/>
    <xf numFmtId="1" fontId="8" fillId="2" borderId="0" xfId="1" applyNumberFormat="1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3" fontId="11" fillId="2" borderId="0" xfId="0" applyNumberFormat="1" applyFont="1" applyFill="1"/>
    <xf numFmtId="0" fontId="11" fillId="2" borderId="0" xfId="0" applyFont="1" applyFill="1"/>
    <xf numFmtId="3" fontId="3" fillId="2" borderId="0" xfId="0" applyNumberFormat="1" applyFont="1" applyFill="1"/>
    <xf numFmtId="0" fontId="8" fillId="2" borderId="4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3" fontId="8" fillId="2" borderId="0" xfId="0" applyNumberFormat="1" applyFont="1" applyFill="1"/>
    <xf numFmtId="3" fontId="7" fillId="2" borderId="0" xfId="0" applyNumberFormat="1" applyFont="1" applyFill="1"/>
    <xf numFmtId="0" fontId="18" fillId="2" borderId="0" xfId="1" applyFont="1" applyFill="1" applyAlignment="1">
      <alignment horizontal="center" vertical="center"/>
    </xf>
    <xf numFmtId="3" fontId="8" fillId="2" borderId="0" xfId="0" applyNumberFormat="1" applyFont="1" applyFill="1" applyBorder="1"/>
    <xf numFmtId="3" fontId="4" fillId="2" borderId="0" xfId="0" applyNumberFormat="1" applyFont="1" applyFill="1"/>
    <xf numFmtId="165" fontId="18" fillId="2" borderId="0" xfId="1" applyNumberFormat="1" applyFont="1" applyFill="1" applyAlignment="1">
      <alignment horizontal="center" vertical="center" wrapText="1"/>
    </xf>
    <xf numFmtId="3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9" fontId="8" fillId="2" borderId="0" xfId="0" applyNumberFormat="1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1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28" fillId="2" borderId="0" xfId="0" applyFont="1" applyFill="1"/>
    <xf numFmtId="49" fontId="4" fillId="2" borderId="0" xfId="0" applyNumberFormat="1" applyFont="1" applyFill="1"/>
    <xf numFmtId="1" fontId="4" fillId="2" borderId="0" xfId="0" applyNumberFormat="1" applyFont="1" applyFill="1"/>
    <xf numFmtId="0" fontId="3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9" fontId="11" fillId="2" borderId="0" xfId="0" applyNumberFormat="1" applyFont="1" applyFill="1"/>
    <xf numFmtId="0" fontId="11" fillId="2" borderId="0" xfId="0" applyFont="1" applyFill="1" applyAlignment="1"/>
    <xf numFmtId="0" fontId="29" fillId="2" borderId="0" xfId="0" applyFont="1" applyFill="1"/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30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9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22" fillId="2" borderId="0" xfId="0" applyFont="1" applyFill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3" fontId="8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2" fontId="4" fillId="0" borderId="1" xfId="8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1" xfId="8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5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49" fontId="7" fillId="2" borderId="0" xfId="0" applyNumberFormat="1" applyFont="1" applyFill="1"/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3" fontId="8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1" xfId="1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0" borderId="1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0" xfId="9" applyNumberFormat="1" applyFont="1" applyFill="1" applyBorder="1" applyAlignment="1" applyProtection="1">
      <alignment vertical="center" wrapText="1" shrinkToFit="1"/>
      <protection hidden="1"/>
    </xf>
    <xf numFmtId="0" fontId="4" fillId="0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4" fillId="0" borderId="10" xfId="9" applyNumberFormat="1" applyFont="1" applyFill="1" applyBorder="1" applyAlignment="1" applyProtection="1">
      <alignment horizontal="center" vertical="center" wrapText="1" shrinkToFit="1"/>
      <protection hidden="1"/>
    </xf>
    <xf numFmtId="165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1" fontId="8" fillId="0" borderId="10" xfId="9" applyNumberFormat="1" applyFont="1" applyFill="1" applyBorder="1" applyAlignment="1" applyProtection="1">
      <alignment horizontal="center" vertical="center" wrapText="1" shrinkToFit="1"/>
      <protection hidden="1"/>
    </xf>
    <xf numFmtId="165" fontId="4" fillId="0" borderId="10" xfId="9" applyNumberFormat="1" applyFont="1" applyFill="1" applyBorder="1" applyAlignment="1" applyProtection="1">
      <alignment horizontal="center" vertical="center" wrapText="1" shrinkToFit="1"/>
      <protection hidden="1"/>
    </xf>
    <xf numFmtId="3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 applyProtection="1">
      <alignment horizontal="center" vertical="center" wrapText="1" shrinkToFit="1"/>
      <protection hidden="1"/>
    </xf>
    <xf numFmtId="1" fontId="8" fillId="0" borderId="1" xfId="9" applyNumberFormat="1" applyFont="1" applyFill="1" applyBorder="1" applyAlignment="1" applyProtection="1">
      <alignment horizontal="center" vertical="center" wrapText="1" shrinkToFit="1"/>
      <protection hidden="1"/>
    </xf>
    <xf numFmtId="2" fontId="4" fillId="0" borderId="1" xfId="9" applyNumberFormat="1" applyFont="1" applyFill="1" applyBorder="1" applyAlignment="1" applyProtection="1">
      <alignment horizontal="center" vertical="center" wrapText="1" shrinkToFit="1"/>
      <protection hidden="1"/>
    </xf>
    <xf numFmtId="165" fontId="4" fillId="0" borderId="1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/>
    <xf numFmtId="0" fontId="4" fillId="0" borderId="0" xfId="0" applyFont="1" applyFill="1" applyBorder="1" applyAlignment="1">
      <alignment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/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4" fillId="0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8" fillId="0" borderId="0" xfId="0" applyFont="1" applyFill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11" fillId="3" borderId="0" xfId="0" applyFont="1" applyFill="1"/>
    <xf numFmtId="0" fontId="8" fillId="3" borderId="0" xfId="1" applyFont="1" applyFill="1" applyBorder="1" applyAlignment="1">
      <alignment vertical="center"/>
    </xf>
    <xf numFmtId="0" fontId="4" fillId="3" borderId="0" xfId="0" applyFont="1" applyFill="1"/>
    <xf numFmtId="1" fontId="8" fillId="3" borderId="0" xfId="1" applyNumberFormat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8" fillId="3" borderId="0" xfId="1" applyFont="1" applyFill="1" applyAlignment="1">
      <alignment horizontal="center" vertical="center"/>
    </xf>
    <xf numFmtId="165" fontId="18" fillId="3" borderId="0" xfId="1" applyNumberFormat="1" applyFont="1" applyFill="1" applyAlignment="1">
      <alignment horizontal="center" vertical="center" wrapText="1"/>
    </xf>
    <xf numFmtId="1" fontId="8" fillId="3" borderId="0" xfId="1" applyNumberFormat="1" applyFont="1" applyFill="1" applyBorder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center"/>
    </xf>
    <xf numFmtId="0" fontId="8" fillId="3" borderId="5" xfId="1" applyFont="1" applyFill="1" applyBorder="1" applyAlignment="1">
      <alignment vertical="center"/>
    </xf>
    <xf numFmtId="1" fontId="8" fillId="3" borderId="1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Alignment="1">
      <alignment horizontal="center" vertical="center"/>
    </xf>
    <xf numFmtId="0" fontId="8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center" vertical="center"/>
    </xf>
    <xf numFmtId="1" fontId="8" fillId="3" borderId="0" xfId="1" applyNumberFormat="1" applyFont="1" applyFill="1" applyBorder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/>
    </xf>
    <xf numFmtId="0" fontId="4" fillId="0" borderId="10" xfId="9" applyNumberFormat="1" applyFont="1" applyFill="1" applyBorder="1" applyAlignment="1" applyProtection="1">
      <alignment horizontal="left" vertical="center" wrapText="1" shrinkToFit="1"/>
      <protection hidden="1"/>
    </xf>
    <xf numFmtId="165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8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2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165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horizontal="center" vertical="center" wrapText="1"/>
    </xf>
    <xf numFmtId="1" fontId="8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9" applyNumberFormat="1" applyFont="1" applyFill="1" applyBorder="1" applyAlignment="1" applyProtection="1">
      <alignment vertical="center" wrapText="1" shrinkToFit="1"/>
      <protection hidden="1"/>
    </xf>
    <xf numFmtId="2" fontId="4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1" fontId="22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4" fillId="4" borderId="1" xfId="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textRotation="90" wrapText="1"/>
    </xf>
    <xf numFmtId="9" fontId="8" fillId="0" borderId="1" xfId="0" applyNumberFormat="1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3" fontId="8" fillId="0" borderId="11" xfId="0" applyNumberFormat="1" applyFont="1" applyFill="1" applyBorder="1" applyAlignment="1">
      <alignment horizontal="center" vertical="center" textRotation="90" wrapText="1"/>
    </xf>
    <xf numFmtId="3" fontId="8" fillId="0" borderId="13" xfId="0" applyNumberFormat="1" applyFont="1" applyFill="1" applyBorder="1" applyAlignment="1">
      <alignment horizontal="center" vertical="center" textRotation="90" wrapText="1"/>
    </xf>
    <xf numFmtId="3" fontId="8" fillId="0" borderId="10" xfId="0" applyNumberFormat="1" applyFont="1" applyFill="1" applyBorder="1" applyAlignment="1">
      <alignment horizontal="center" vertical="center" textRotation="90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0" borderId="6" xfId="10" applyFont="1" applyFill="1" applyBorder="1" applyAlignment="1">
      <alignment horizontal="center" vertical="center" wrapText="1"/>
    </xf>
    <xf numFmtId="164" fontId="8" fillId="0" borderId="7" xfId="10" applyFont="1" applyFill="1" applyBorder="1" applyAlignment="1">
      <alignment horizontal="center" vertical="center" wrapText="1"/>
    </xf>
    <xf numFmtId="164" fontId="8" fillId="0" borderId="12" xfId="10" applyFont="1" applyFill="1" applyBorder="1" applyAlignment="1">
      <alignment horizontal="center" vertical="center" wrapText="1"/>
    </xf>
    <xf numFmtId="164" fontId="8" fillId="0" borderId="8" xfId="10" applyFont="1" applyFill="1" applyBorder="1" applyAlignment="1">
      <alignment horizontal="center" vertical="center" wrapText="1"/>
    </xf>
    <xf numFmtId="164" fontId="8" fillId="0" borderId="3" xfId="10" applyFont="1" applyFill="1" applyBorder="1" applyAlignment="1">
      <alignment horizontal="center" vertical="center" wrapText="1"/>
    </xf>
    <xf numFmtId="164" fontId="8" fillId="0" borderId="9" xfId="1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3" borderId="4" xfId="1" applyNumberFormat="1" applyFont="1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1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1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4 4" xfId="5"/>
    <cellStyle name="Обычный 3 8" xfId="6"/>
    <cellStyle name="Обычный 4" xfId="7"/>
    <cellStyle name="Обычный_админ 1" xfId="8"/>
    <cellStyle name="Обычный_Лист1" xfId="9"/>
    <cellStyle name="Финансовый" xfId="10" builtinId="3"/>
  </cellStyles>
  <dxfs count="0"/>
  <tableStyles count="0" defaultTableStyle="TableStyleMedium2" defaultPivotStyle="PivotStyleLight16"/>
  <colors>
    <mruColors>
      <color rgb="FFFF0000"/>
      <color rgb="FFFFC5FF"/>
      <color rgb="FFFFFFFF"/>
      <color rgb="FFFF8B8B"/>
      <color rgb="FFFF7171"/>
      <color rgb="FFFF4747"/>
      <color rgb="FFFF3737"/>
      <color rgb="FFFF99FF"/>
      <color rgb="FFFF9999"/>
      <color rgb="FF922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43;&#1072;&#1091;&#1093;&#1072;&#1088;.WIN-GAUHAR-ROO/Downloads/Users/User/Downloads/16%20&#1058;&#1072;&#1089;&#1086;&#1074;&#1072;%20&#1044;&#1072;&#1088;&#1099;&#1085;.xls%20&#1085;&#1072;%20&#1103;&#1085;&#1074;&#1072;&#1088;&#1100;%202022&#1075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штат"/>
      <sheetName val="ШТАТ АУП 2022"/>
      <sheetName val="тариф мугалим"/>
      <sheetName val="анык"/>
    </sheetNames>
    <sheetDataSet>
      <sheetData sheetId="0"/>
      <sheetData sheetId="1"/>
      <sheetData sheetId="2">
        <row r="89">
          <cell r="AJ89">
            <v>344228.77125000005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6"/>
  <sheetViews>
    <sheetView topLeftCell="A112" workbookViewId="0">
      <selection activeCell="C132" sqref="C132"/>
    </sheetView>
  </sheetViews>
  <sheetFormatPr defaultColWidth="6.140625" defaultRowHeight="12.75"/>
  <cols>
    <col min="1" max="1" width="6.140625" style="108" customWidth="1"/>
    <col min="2" max="2" width="18.5703125" style="157" customWidth="1"/>
    <col min="3" max="3" width="6.140625" style="108" customWidth="1"/>
    <col min="4" max="4" width="7.5703125" style="108" customWidth="1"/>
    <col min="5" max="5" width="6.140625" style="120" customWidth="1"/>
    <col min="6" max="6" width="7.140625" style="109" customWidth="1"/>
    <col min="7" max="7" width="6.140625" style="108" customWidth="1"/>
    <col min="8" max="8" width="11.42578125" style="109" customWidth="1"/>
    <col min="9" max="9" width="8.85546875" style="109" hidden="1" customWidth="1"/>
    <col min="10" max="10" width="10.5703125" style="109" customWidth="1"/>
    <col min="11" max="11" width="10.28515625" style="109" customWidth="1"/>
    <col min="12" max="12" width="6.140625" style="109" hidden="1" customWidth="1"/>
    <col min="13" max="13" width="9" style="109" customWidth="1"/>
    <col min="14" max="14" width="6.140625" style="109" customWidth="1"/>
    <col min="15" max="15" width="7.85546875" style="109" customWidth="1"/>
    <col min="16" max="16" width="8.140625" style="109" customWidth="1"/>
    <col min="17" max="17" width="9.5703125" style="109" customWidth="1"/>
    <col min="18" max="18" width="7.28515625" style="109" customWidth="1"/>
    <col min="19" max="19" width="9.140625" style="109" customWidth="1"/>
    <col min="20" max="20" width="10.140625" style="109" customWidth="1"/>
    <col min="21" max="21" width="9.28515625" style="109" customWidth="1"/>
    <col min="22" max="22" width="8.85546875" style="109" customWidth="1"/>
    <col min="23" max="23" width="12.140625" style="109" customWidth="1"/>
    <col min="24" max="24" width="10.140625" style="109" customWidth="1"/>
    <col min="25" max="25" width="6.140625" style="108"/>
    <col min="26" max="26" width="7.28515625" style="108" bestFit="1" customWidth="1"/>
    <col min="27" max="16384" width="6.140625" style="108"/>
  </cols>
  <sheetData>
    <row r="1" spans="1:24" ht="14.25" customHeight="1">
      <c r="B1" s="226" t="s">
        <v>455</v>
      </c>
      <c r="C1" s="107"/>
      <c r="D1" s="109"/>
      <c r="F1" s="108"/>
      <c r="S1" s="86" t="s">
        <v>9</v>
      </c>
    </row>
    <row r="2" spans="1:24" ht="14.25" customHeight="1">
      <c r="B2" s="226" t="s">
        <v>38</v>
      </c>
      <c r="C2" s="107"/>
      <c r="D2" s="109"/>
      <c r="F2" s="108"/>
      <c r="S2" s="87" t="s">
        <v>38</v>
      </c>
    </row>
    <row r="3" spans="1:24" ht="14.25" customHeight="1">
      <c r="B3" s="226" t="s">
        <v>456</v>
      </c>
      <c r="C3" s="107"/>
      <c r="D3" s="109"/>
      <c r="F3" s="108"/>
      <c r="S3" s="86" t="s">
        <v>331</v>
      </c>
    </row>
    <row r="4" spans="1:24" ht="14.25" customHeight="1">
      <c r="B4" s="226" t="s">
        <v>457</v>
      </c>
      <c r="C4" s="107"/>
      <c r="D4" s="109"/>
      <c r="F4" s="108"/>
      <c r="S4" s="86" t="s">
        <v>332</v>
      </c>
    </row>
    <row r="5" spans="1:24" ht="14.25" customHeight="1">
      <c r="B5" s="226"/>
      <c r="C5" s="107"/>
      <c r="D5" s="109"/>
      <c r="F5" s="108"/>
      <c r="S5" s="86" t="s">
        <v>333</v>
      </c>
    </row>
    <row r="6" spans="1:24" ht="14.25" customHeight="1">
      <c r="B6" s="226" t="s">
        <v>458</v>
      </c>
      <c r="C6" s="107"/>
      <c r="D6" s="109"/>
      <c r="F6" s="108"/>
      <c r="S6" s="86" t="s">
        <v>334</v>
      </c>
    </row>
    <row r="7" spans="1:24" ht="14.25" customHeight="1">
      <c r="B7" s="226" t="s">
        <v>459</v>
      </c>
      <c r="C7" s="107"/>
      <c r="D7" s="109"/>
      <c r="F7" s="108"/>
      <c r="S7" s="88" t="s">
        <v>335</v>
      </c>
    </row>
    <row r="8" spans="1:24" ht="13.5" customHeight="1">
      <c r="B8" s="156"/>
      <c r="C8" s="107"/>
      <c r="D8" s="109"/>
      <c r="F8" s="108"/>
      <c r="S8" s="88"/>
    </row>
    <row r="9" spans="1:24" ht="39.6" customHeight="1">
      <c r="A9" s="510" t="s">
        <v>460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</row>
    <row r="10" spans="1:24" s="161" customFormat="1" ht="20.25" customHeight="1">
      <c r="A10" s="511" t="s">
        <v>22</v>
      </c>
      <c r="B10" s="511" t="s">
        <v>0</v>
      </c>
      <c r="C10" s="511" t="s">
        <v>2</v>
      </c>
      <c r="D10" s="511" t="s">
        <v>35</v>
      </c>
      <c r="E10" s="513" t="s">
        <v>3</v>
      </c>
      <c r="F10" s="515" t="s">
        <v>53</v>
      </c>
      <c r="G10" s="511" t="s">
        <v>51</v>
      </c>
      <c r="H10" s="517" t="s">
        <v>4</v>
      </c>
      <c r="I10" s="517" t="s">
        <v>52</v>
      </c>
      <c r="J10" s="517" t="s">
        <v>42</v>
      </c>
      <c r="K10" s="519" t="s">
        <v>44</v>
      </c>
      <c r="L10" s="520"/>
      <c r="M10" s="520"/>
      <c r="N10" s="520"/>
      <c r="O10" s="520"/>
      <c r="P10" s="520"/>
      <c r="Q10" s="520"/>
      <c r="R10" s="521" t="s">
        <v>44</v>
      </c>
      <c r="S10" s="521"/>
      <c r="T10" s="521"/>
      <c r="U10" s="521"/>
      <c r="V10" s="521"/>
      <c r="W10" s="517" t="s">
        <v>66</v>
      </c>
      <c r="X10" s="517" t="s">
        <v>67</v>
      </c>
    </row>
    <row r="11" spans="1:24" s="161" customFormat="1" ht="96" customHeight="1">
      <c r="A11" s="512"/>
      <c r="B11" s="512"/>
      <c r="C11" s="512"/>
      <c r="D11" s="512"/>
      <c r="E11" s="514"/>
      <c r="F11" s="516"/>
      <c r="G11" s="512"/>
      <c r="H11" s="518"/>
      <c r="I11" s="518"/>
      <c r="J11" s="518"/>
      <c r="K11" s="45">
        <v>0.1</v>
      </c>
      <c r="L11" s="45" t="s">
        <v>73</v>
      </c>
      <c r="M11" s="62" t="s">
        <v>48</v>
      </c>
      <c r="N11" s="62" t="s">
        <v>356</v>
      </c>
      <c r="O11" s="62" t="s">
        <v>55</v>
      </c>
      <c r="P11" s="62" t="s">
        <v>54</v>
      </c>
      <c r="Q11" s="62" t="s">
        <v>44</v>
      </c>
      <c r="R11" s="225" t="s">
        <v>45</v>
      </c>
      <c r="S11" s="225" t="s">
        <v>46</v>
      </c>
      <c r="T11" s="225" t="s">
        <v>49</v>
      </c>
      <c r="U11" s="225" t="s">
        <v>47</v>
      </c>
      <c r="V11" s="225" t="s">
        <v>68</v>
      </c>
      <c r="W11" s="518"/>
      <c r="X11" s="518"/>
    </row>
    <row r="12" spans="1:24" s="155" customFormat="1">
      <c r="A12" s="84">
        <v>1</v>
      </c>
      <c r="B12" s="150" t="s">
        <v>5</v>
      </c>
      <c r="C12" s="84">
        <v>1</v>
      </c>
      <c r="D12" s="84" t="s">
        <v>318</v>
      </c>
      <c r="E12" s="121">
        <v>6.58</v>
      </c>
      <c r="F12" s="111">
        <v>17697</v>
      </c>
      <c r="G12" s="83">
        <v>1.75</v>
      </c>
      <c r="H12" s="111">
        <f t="shared" ref="H12:H75" si="0">(E12*17697*C12)*G12</f>
        <v>203780.95499999999</v>
      </c>
      <c r="I12" s="111">
        <v>0</v>
      </c>
      <c r="J12" s="111">
        <f>H12+I12</f>
        <v>203780.95499999999</v>
      </c>
      <c r="K12" s="111">
        <f>J12*10%</f>
        <v>20378.095499999999</v>
      </c>
      <c r="L12" s="111"/>
      <c r="M12" s="162"/>
      <c r="N12" s="162"/>
      <c r="O12" s="112"/>
      <c r="P12" s="162"/>
      <c r="Q12" s="112"/>
      <c r="R12" s="112"/>
      <c r="S12" s="112"/>
      <c r="T12" s="112"/>
      <c r="U12" s="112"/>
      <c r="V12" s="112"/>
      <c r="W12" s="112">
        <f>SUM(J12:V12)</f>
        <v>224159.05049999998</v>
      </c>
      <c r="X12" s="112">
        <f>W12*12/1000</f>
        <v>2689.9086059999995</v>
      </c>
    </row>
    <row r="13" spans="1:24" s="155" customFormat="1" ht="51">
      <c r="A13" s="84">
        <v>2</v>
      </c>
      <c r="B13" s="150" t="s">
        <v>182</v>
      </c>
      <c r="C13" s="84">
        <v>1</v>
      </c>
      <c r="D13" s="84" t="s">
        <v>319</v>
      </c>
      <c r="E13" s="121">
        <v>6.6</v>
      </c>
      <c r="F13" s="111">
        <v>17697</v>
      </c>
      <c r="G13" s="83">
        <v>1.75</v>
      </c>
      <c r="H13" s="111">
        <f t="shared" si="0"/>
        <v>204400.35</v>
      </c>
      <c r="I13" s="111">
        <v>0</v>
      </c>
      <c r="J13" s="111">
        <f t="shared" ref="J13:J76" si="1">H13+I13</f>
        <v>204400.35</v>
      </c>
      <c r="K13" s="111">
        <f t="shared" ref="K13:K76" si="2">J13*10%</f>
        <v>20440.035000000003</v>
      </c>
      <c r="L13" s="111"/>
      <c r="M13" s="162"/>
      <c r="N13" s="162"/>
      <c r="O13" s="112"/>
      <c r="P13" s="162"/>
      <c r="Q13" s="112"/>
      <c r="R13" s="112"/>
      <c r="S13" s="112"/>
      <c r="T13" s="112"/>
      <c r="U13" s="112"/>
      <c r="V13" s="112">
        <f>J13</f>
        <v>204400.35</v>
      </c>
      <c r="W13" s="112">
        <f t="shared" ref="W13:W76" si="3">SUM(J13:V13)</f>
        <v>429240.73499999999</v>
      </c>
      <c r="X13" s="112">
        <f t="shared" ref="X13:X76" si="4">W13*12/1000</f>
        <v>5150.8888200000001</v>
      </c>
    </row>
    <row r="14" spans="1:24" s="155" customFormat="1" ht="25.5">
      <c r="A14" s="84">
        <v>3</v>
      </c>
      <c r="B14" s="150" t="s">
        <v>183</v>
      </c>
      <c r="C14" s="84">
        <v>1</v>
      </c>
      <c r="D14" s="84" t="s">
        <v>319</v>
      </c>
      <c r="E14" s="121">
        <v>6.25</v>
      </c>
      <c r="F14" s="111">
        <v>17697</v>
      </c>
      <c r="G14" s="83">
        <v>1.75</v>
      </c>
      <c r="H14" s="111">
        <f t="shared" si="0"/>
        <v>193560.9375</v>
      </c>
      <c r="I14" s="111">
        <v>0</v>
      </c>
      <c r="J14" s="111">
        <f t="shared" si="1"/>
        <v>193560.9375</v>
      </c>
      <c r="K14" s="111">
        <f t="shared" si="2"/>
        <v>19356.09375</v>
      </c>
      <c r="L14" s="111"/>
      <c r="M14" s="162"/>
      <c r="N14" s="162"/>
      <c r="O14" s="112"/>
      <c r="P14" s="162"/>
      <c r="Q14" s="112"/>
      <c r="R14" s="112"/>
      <c r="S14" s="112"/>
      <c r="T14" s="112"/>
      <c r="U14" s="112"/>
      <c r="V14" s="112">
        <f>J14</f>
        <v>193560.9375</v>
      </c>
      <c r="W14" s="112">
        <f t="shared" si="3"/>
        <v>406477.96875</v>
      </c>
      <c r="X14" s="112">
        <f t="shared" si="4"/>
        <v>4877.7356250000003</v>
      </c>
    </row>
    <row r="15" spans="1:24" s="155" customFormat="1" ht="38.25">
      <c r="A15" s="84">
        <v>4</v>
      </c>
      <c r="B15" s="71" t="s">
        <v>184</v>
      </c>
      <c r="C15" s="84">
        <v>1</v>
      </c>
      <c r="D15" s="148" t="s">
        <v>319</v>
      </c>
      <c r="E15" s="122">
        <v>6.08</v>
      </c>
      <c r="F15" s="111">
        <v>17697</v>
      </c>
      <c r="G15" s="83">
        <v>1.75</v>
      </c>
      <c r="H15" s="111">
        <f t="shared" si="0"/>
        <v>188296.08</v>
      </c>
      <c r="I15" s="111">
        <v>0</v>
      </c>
      <c r="J15" s="111">
        <f t="shared" si="1"/>
        <v>188296.08</v>
      </c>
      <c r="K15" s="111">
        <f t="shared" si="2"/>
        <v>18829.608</v>
      </c>
      <c r="L15" s="111"/>
      <c r="M15" s="162"/>
      <c r="N15" s="162"/>
      <c r="O15" s="112"/>
      <c r="P15" s="162"/>
      <c r="Q15" s="112"/>
      <c r="R15" s="112"/>
      <c r="S15" s="112"/>
      <c r="T15" s="112"/>
      <c r="U15" s="112"/>
      <c r="V15" s="112"/>
      <c r="W15" s="112">
        <f t="shared" si="3"/>
        <v>207125.68799999999</v>
      </c>
      <c r="X15" s="112">
        <f t="shared" si="4"/>
        <v>2485.5082560000001</v>
      </c>
    </row>
    <row r="16" spans="1:24" s="155" customFormat="1" ht="25.5">
      <c r="A16" s="84">
        <v>5</v>
      </c>
      <c r="B16" s="150" t="s">
        <v>186</v>
      </c>
      <c r="C16" s="84">
        <v>1</v>
      </c>
      <c r="D16" s="84" t="s">
        <v>319</v>
      </c>
      <c r="E16" s="121">
        <v>6.6</v>
      </c>
      <c r="F16" s="111">
        <v>17697</v>
      </c>
      <c r="G16" s="83">
        <v>1.75</v>
      </c>
      <c r="H16" s="111">
        <f t="shared" si="0"/>
        <v>204400.35</v>
      </c>
      <c r="I16" s="111">
        <v>0</v>
      </c>
      <c r="J16" s="111">
        <f t="shared" si="1"/>
        <v>204400.35</v>
      </c>
      <c r="K16" s="111">
        <f t="shared" si="2"/>
        <v>20440.035000000003</v>
      </c>
      <c r="L16" s="111"/>
      <c r="M16" s="162"/>
      <c r="N16" s="162"/>
      <c r="O16" s="112"/>
      <c r="P16" s="162"/>
      <c r="Q16" s="112"/>
      <c r="R16" s="112"/>
      <c r="S16" s="112"/>
      <c r="T16" s="112"/>
      <c r="U16" s="112"/>
      <c r="V16" s="112">
        <f>J16</f>
        <v>204400.35</v>
      </c>
      <c r="W16" s="112">
        <f t="shared" si="3"/>
        <v>429240.73499999999</v>
      </c>
      <c r="X16" s="112">
        <f t="shared" si="4"/>
        <v>5150.8888200000001</v>
      </c>
    </row>
    <row r="17" spans="1:24" s="155" customFormat="1" ht="25.5">
      <c r="A17" s="84">
        <v>6</v>
      </c>
      <c r="B17" s="150" t="s">
        <v>183</v>
      </c>
      <c r="C17" s="84">
        <v>0.5</v>
      </c>
      <c r="D17" s="84" t="s">
        <v>319</v>
      </c>
      <c r="E17" s="121">
        <v>6.25</v>
      </c>
      <c r="F17" s="111">
        <v>17697</v>
      </c>
      <c r="G17" s="83">
        <v>1.75</v>
      </c>
      <c r="H17" s="111">
        <f t="shared" si="0"/>
        <v>96780.46875</v>
      </c>
      <c r="I17" s="111">
        <v>0</v>
      </c>
      <c r="J17" s="111">
        <f t="shared" si="1"/>
        <v>96780.46875</v>
      </c>
      <c r="K17" s="111">
        <f t="shared" si="2"/>
        <v>9678.046875</v>
      </c>
      <c r="L17" s="111"/>
      <c r="M17" s="162"/>
      <c r="N17" s="162"/>
      <c r="O17" s="112"/>
      <c r="P17" s="162"/>
      <c r="Q17" s="112"/>
      <c r="R17" s="112"/>
      <c r="S17" s="112"/>
      <c r="T17" s="112"/>
      <c r="U17" s="112"/>
      <c r="V17" s="112">
        <f>J17/2</f>
        <v>48390.234375</v>
      </c>
      <c r="W17" s="112">
        <f t="shared" si="3"/>
        <v>154848.75</v>
      </c>
      <c r="X17" s="112">
        <f t="shared" si="4"/>
        <v>1858.1849999999999</v>
      </c>
    </row>
    <row r="18" spans="1:24" s="155" customFormat="1" ht="38.25">
      <c r="A18" s="84">
        <v>7</v>
      </c>
      <c r="B18" s="150" t="s">
        <v>189</v>
      </c>
      <c r="C18" s="84">
        <v>1</v>
      </c>
      <c r="D18" s="84" t="s">
        <v>320</v>
      </c>
      <c r="E18" s="121">
        <v>5.51</v>
      </c>
      <c r="F18" s="111">
        <v>17697</v>
      </c>
      <c r="G18" s="83">
        <v>1.23</v>
      </c>
      <c r="H18" s="111">
        <f t="shared" si="0"/>
        <v>119937.8781</v>
      </c>
      <c r="I18" s="111">
        <v>0</v>
      </c>
      <c r="J18" s="111">
        <f t="shared" si="1"/>
        <v>119937.8781</v>
      </c>
      <c r="K18" s="111">
        <f t="shared" si="2"/>
        <v>11993.787810000002</v>
      </c>
      <c r="L18" s="111"/>
      <c r="M18" s="162"/>
      <c r="N18" s="162"/>
      <c r="O18" s="112"/>
      <c r="P18" s="162"/>
      <c r="Q18" s="112"/>
      <c r="R18" s="112"/>
      <c r="S18" s="112"/>
      <c r="T18" s="112"/>
      <c r="U18" s="112"/>
      <c r="V18" s="112"/>
      <c r="W18" s="112">
        <f t="shared" si="3"/>
        <v>131931.66591000001</v>
      </c>
      <c r="X18" s="112">
        <f t="shared" si="4"/>
        <v>1583.1799909200001</v>
      </c>
    </row>
    <row r="19" spans="1:24" s="155" customFormat="1">
      <c r="A19" s="84">
        <v>8</v>
      </c>
      <c r="B19" s="150" t="s">
        <v>6</v>
      </c>
      <c r="C19" s="84">
        <v>1</v>
      </c>
      <c r="D19" s="84" t="s">
        <v>320</v>
      </c>
      <c r="E19" s="121">
        <v>5.98</v>
      </c>
      <c r="F19" s="111">
        <v>17697</v>
      </c>
      <c r="G19" s="83">
        <v>1.23</v>
      </c>
      <c r="H19" s="111">
        <f t="shared" si="0"/>
        <v>130168.51380000002</v>
      </c>
      <c r="I19" s="111">
        <v>0</v>
      </c>
      <c r="J19" s="111">
        <f t="shared" si="1"/>
        <v>130168.51380000002</v>
      </c>
      <c r="K19" s="111">
        <f t="shared" si="2"/>
        <v>13016.851380000002</v>
      </c>
      <c r="L19" s="111"/>
      <c r="M19" s="162"/>
      <c r="N19" s="162"/>
      <c r="O19" s="112"/>
      <c r="P19" s="162"/>
      <c r="Q19" s="112"/>
      <c r="R19" s="112"/>
      <c r="S19" s="112"/>
      <c r="T19" s="112"/>
      <c r="U19" s="112"/>
      <c r="V19" s="112"/>
      <c r="W19" s="112">
        <f t="shared" si="3"/>
        <v>143185.36518000002</v>
      </c>
      <c r="X19" s="112">
        <f t="shared" si="4"/>
        <v>1718.2243821600002</v>
      </c>
    </row>
    <row r="20" spans="1:24" s="155" customFormat="1">
      <c r="A20" s="84">
        <v>9</v>
      </c>
      <c r="B20" s="150" t="s">
        <v>192</v>
      </c>
      <c r="C20" s="84">
        <v>0.5</v>
      </c>
      <c r="D20" s="110" t="s">
        <v>321</v>
      </c>
      <c r="E20" s="166">
        <v>4.6100000000000003</v>
      </c>
      <c r="F20" s="111">
        <v>17697</v>
      </c>
      <c r="G20" s="83">
        <v>1.23</v>
      </c>
      <c r="H20" s="111">
        <f t="shared" si="0"/>
        <v>50173.649550000009</v>
      </c>
      <c r="I20" s="111"/>
      <c r="J20" s="111">
        <f t="shared" si="1"/>
        <v>50173.649550000009</v>
      </c>
      <c r="K20" s="111">
        <f t="shared" si="2"/>
        <v>5017.3649550000009</v>
      </c>
      <c r="L20" s="111"/>
      <c r="M20" s="162"/>
      <c r="N20" s="162"/>
      <c r="O20" s="112"/>
      <c r="P20" s="162"/>
      <c r="Q20" s="112"/>
      <c r="R20" s="112"/>
      <c r="S20" s="112"/>
      <c r="T20" s="112"/>
      <c r="U20" s="112"/>
      <c r="V20" s="112"/>
      <c r="W20" s="112">
        <f t="shared" si="3"/>
        <v>55191.014505000014</v>
      </c>
      <c r="X20" s="112">
        <f t="shared" si="4"/>
        <v>662.29217406000009</v>
      </c>
    </row>
    <row r="21" spans="1:24" s="155" customFormat="1">
      <c r="A21" s="84">
        <v>10</v>
      </c>
      <c r="B21" s="150" t="s">
        <v>192</v>
      </c>
      <c r="C21" s="84">
        <v>1.5</v>
      </c>
      <c r="D21" s="84" t="s">
        <v>321</v>
      </c>
      <c r="E21" s="121">
        <v>4.2699999999999996</v>
      </c>
      <c r="F21" s="111">
        <v>17697</v>
      </c>
      <c r="G21" s="83">
        <v>1.23</v>
      </c>
      <c r="H21" s="111">
        <f t="shared" si="0"/>
        <v>139419.62054999996</v>
      </c>
      <c r="I21" s="111"/>
      <c r="J21" s="111">
        <f t="shared" si="1"/>
        <v>139419.62054999996</v>
      </c>
      <c r="K21" s="111">
        <f t="shared" si="2"/>
        <v>13941.962054999996</v>
      </c>
      <c r="L21" s="111"/>
      <c r="M21" s="162"/>
      <c r="N21" s="162"/>
      <c r="O21" s="112"/>
      <c r="P21" s="162"/>
      <c r="Q21" s="112"/>
      <c r="R21" s="112"/>
      <c r="S21" s="112"/>
      <c r="T21" s="112"/>
      <c r="U21" s="112"/>
      <c r="V21" s="112"/>
      <c r="W21" s="112">
        <f t="shared" si="3"/>
        <v>153361.58260499995</v>
      </c>
      <c r="X21" s="112">
        <f t="shared" si="4"/>
        <v>1840.3389912599994</v>
      </c>
    </row>
    <row r="22" spans="1:24" s="155" customFormat="1" ht="25.5">
      <c r="A22" s="84">
        <v>11</v>
      </c>
      <c r="B22" s="150" t="s">
        <v>194</v>
      </c>
      <c r="C22" s="84">
        <v>1</v>
      </c>
      <c r="D22" s="84" t="s">
        <v>322</v>
      </c>
      <c r="E22" s="121">
        <v>3.68</v>
      </c>
      <c r="F22" s="111">
        <v>17697</v>
      </c>
      <c r="G22" s="83">
        <v>1.23</v>
      </c>
      <c r="H22" s="111">
        <f t="shared" si="0"/>
        <v>80103.700800000006</v>
      </c>
      <c r="I22" s="111"/>
      <c r="J22" s="111">
        <f t="shared" si="1"/>
        <v>80103.700800000006</v>
      </c>
      <c r="K22" s="111">
        <f t="shared" si="2"/>
        <v>8010.3700800000006</v>
      </c>
      <c r="L22" s="111"/>
      <c r="M22" s="162"/>
      <c r="N22" s="162"/>
      <c r="O22" s="112"/>
      <c r="P22" s="162"/>
      <c r="Q22" s="112"/>
      <c r="R22" s="112"/>
      <c r="S22" s="112"/>
      <c r="T22" s="112"/>
      <c r="U22" s="112"/>
      <c r="V22" s="112"/>
      <c r="W22" s="112">
        <f t="shared" si="3"/>
        <v>88114.070880000014</v>
      </c>
      <c r="X22" s="112">
        <f t="shared" si="4"/>
        <v>1057.3688505600001</v>
      </c>
    </row>
    <row r="23" spans="1:24" s="155" customFormat="1" ht="38.25">
      <c r="A23" s="84">
        <v>12</v>
      </c>
      <c r="B23" s="150" t="s">
        <v>195</v>
      </c>
      <c r="C23" s="84">
        <v>1</v>
      </c>
      <c r="D23" s="84" t="s">
        <v>176</v>
      </c>
      <c r="E23" s="121">
        <v>5.32</v>
      </c>
      <c r="F23" s="111">
        <v>17697</v>
      </c>
      <c r="G23" s="83">
        <v>1.75</v>
      </c>
      <c r="H23" s="111">
        <f t="shared" si="0"/>
        <v>164759.07</v>
      </c>
      <c r="I23" s="111"/>
      <c r="J23" s="111">
        <f t="shared" si="1"/>
        <v>164759.07</v>
      </c>
      <c r="K23" s="111">
        <f t="shared" si="2"/>
        <v>16475.907000000003</v>
      </c>
      <c r="L23" s="111"/>
      <c r="M23" s="162"/>
      <c r="N23" s="162"/>
      <c r="O23" s="112"/>
      <c r="P23" s="162"/>
      <c r="Q23" s="112"/>
      <c r="R23" s="112"/>
      <c r="S23" s="112"/>
      <c r="T23" s="112"/>
      <c r="U23" s="112"/>
      <c r="V23" s="112"/>
      <c r="W23" s="112">
        <f t="shared" si="3"/>
        <v>181234.97700000001</v>
      </c>
      <c r="X23" s="112">
        <f t="shared" si="4"/>
        <v>2174.8197240000004</v>
      </c>
    </row>
    <row r="24" spans="1:24" s="155" customFormat="1">
      <c r="A24" s="84">
        <v>13</v>
      </c>
      <c r="B24" s="150" t="s">
        <v>197</v>
      </c>
      <c r="C24" s="84">
        <v>1</v>
      </c>
      <c r="D24" s="84" t="s">
        <v>180</v>
      </c>
      <c r="E24" s="121">
        <v>4.0999999999999996</v>
      </c>
      <c r="F24" s="111">
        <v>17697</v>
      </c>
      <c r="G24" s="83">
        <v>1.75</v>
      </c>
      <c r="H24" s="111">
        <f t="shared" si="0"/>
        <v>126975.97499999999</v>
      </c>
      <c r="I24" s="111"/>
      <c r="J24" s="111">
        <f t="shared" si="1"/>
        <v>126975.97499999999</v>
      </c>
      <c r="K24" s="111">
        <f t="shared" si="2"/>
        <v>12697.5975</v>
      </c>
      <c r="L24" s="111"/>
      <c r="M24" s="162"/>
      <c r="N24" s="162"/>
      <c r="O24" s="112"/>
      <c r="P24" s="162"/>
      <c r="Q24" s="112"/>
      <c r="R24" s="112"/>
      <c r="S24" s="112"/>
      <c r="T24" s="112"/>
      <c r="U24" s="112"/>
      <c r="V24" s="112"/>
      <c r="W24" s="112">
        <f t="shared" si="3"/>
        <v>139673.57249999998</v>
      </c>
      <c r="X24" s="112">
        <f t="shared" si="4"/>
        <v>1676.0828699999997</v>
      </c>
    </row>
    <row r="25" spans="1:24" s="155" customFormat="1">
      <c r="A25" s="84">
        <v>14</v>
      </c>
      <c r="B25" s="151" t="s">
        <v>199</v>
      </c>
      <c r="C25" s="110">
        <v>1</v>
      </c>
      <c r="D25" s="110" t="s">
        <v>323</v>
      </c>
      <c r="E25" s="121">
        <v>4.55</v>
      </c>
      <c r="F25" s="111">
        <v>17697</v>
      </c>
      <c r="G25" s="83">
        <v>1.75</v>
      </c>
      <c r="H25" s="111">
        <f t="shared" si="0"/>
        <v>140912.36249999999</v>
      </c>
      <c r="I25" s="111"/>
      <c r="J25" s="111">
        <f t="shared" si="1"/>
        <v>140912.36249999999</v>
      </c>
      <c r="K25" s="111">
        <f t="shared" si="2"/>
        <v>14091.23625</v>
      </c>
      <c r="L25" s="111"/>
      <c r="M25" s="162"/>
      <c r="N25" s="162"/>
      <c r="O25" s="112"/>
      <c r="P25" s="162"/>
      <c r="Q25" s="112"/>
      <c r="R25" s="112"/>
      <c r="S25" s="112"/>
      <c r="T25" s="112"/>
      <c r="U25" s="112"/>
      <c r="V25" s="112"/>
      <c r="W25" s="112">
        <f t="shared" si="3"/>
        <v>155003.59874999998</v>
      </c>
      <c r="X25" s="112">
        <f t="shared" si="4"/>
        <v>1860.0431849999995</v>
      </c>
    </row>
    <row r="26" spans="1:24" s="155" customFormat="1" ht="25.5">
      <c r="A26" s="84">
        <v>15</v>
      </c>
      <c r="B26" s="150" t="s">
        <v>201</v>
      </c>
      <c r="C26" s="84">
        <v>0.5</v>
      </c>
      <c r="D26" s="84" t="s">
        <v>323</v>
      </c>
      <c r="E26" s="121">
        <v>4.75</v>
      </c>
      <c r="F26" s="111">
        <v>17697</v>
      </c>
      <c r="G26" s="83">
        <v>1.75</v>
      </c>
      <c r="H26" s="111">
        <f t="shared" si="0"/>
        <v>73553.15625</v>
      </c>
      <c r="I26" s="111"/>
      <c r="J26" s="111">
        <f t="shared" si="1"/>
        <v>73553.15625</v>
      </c>
      <c r="K26" s="111">
        <f t="shared" si="2"/>
        <v>7355.3156250000002</v>
      </c>
      <c r="L26" s="111"/>
      <c r="M26" s="162"/>
      <c r="N26" s="162"/>
      <c r="O26" s="112"/>
      <c r="P26" s="162"/>
      <c r="Q26" s="112"/>
      <c r="R26" s="112"/>
      <c r="S26" s="112"/>
      <c r="T26" s="112"/>
      <c r="U26" s="112"/>
      <c r="V26" s="112"/>
      <c r="W26" s="112">
        <f t="shared" si="3"/>
        <v>80908.471875000003</v>
      </c>
      <c r="X26" s="112">
        <f t="shared" si="4"/>
        <v>970.90166250000004</v>
      </c>
    </row>
    <row r="27" spans="1:24" s="155" customFormat="1">
      <c r="A27" s="84">
        <v>16</v>
      </c>
      <c r="B27" s="150" t="s">
        <v>203</v>
      </c>
      <c r="C27" s="84">
        <v>1</v>
      </c>
      <c r="D27" s="84" t="s">
        <v>323</v>
      </c>
      <c r="E27" s="121">
        <v>4.75</v>
      </c>
      <c r="F27" s="111">
        <v>17697</v>
      </c>
      <c r="G27" s="83">
        <v>1.75</v>
      </c>
      <c r="H27" s="111">
        <f t="shared" si="0"/>
        <v>147106.3125</v>
      </c>
      <c r="I27" s="111"/>
      <c r="J27" s="111">
        <f t="shared" si="1"/>
        <v>147106.3125</v>
      </c>
      <c r="K27" s="111">
        <f t="shared" si="2"/>
        <v>14710.63125</v>
      </c>
      <c r="L27" s="111"/>
      <c r="M27" s="162"/>
      <c r="N27" s="162"/>
      <c r="O27" s="112"/>
      <c r="P27" s="162"/>
      <c r="Q27" s="112"/>
      <c r="R27" s="112"/>
      <c r="S27" s="112"/>
      <c r="T27" s="112"/>
      <c r="U27" s="112"/>
      <c r="V27" s="112"/>
      <c r="W27" s="112">
        <f t="shared" si="3"/>
        <v>161816.94375000001</v>
      </c>
      <c r="X27" s="112">
        <f t="shared" si="4"/>
        <v>1941.8033250000001</v>
      </c>
    </row>
    <row r="28" spans="1:24" s="155" customFormat="1">
      <c r="A28" s="84">
        <v>17</v>
      </c>
      <c r="B28" s="150" t="s">
        <v>204</v>
      </c>
      <c r="C28" s="84">
        <v>1</v>
      </c>
      <c r="D28" s="84" t="s">
        <v>176</v>
      </c>
      <c r="E28" s="121">
        <v>5.99</v>
      </c>
      <c r="F28" s="111">
        <v>17697</v>
      </c>
      <c r="G28" s="83">
        <v>2.63</v>
      </c>
      <c r="H28" s="111">
        <f t="shared" si="0"/>
        <v>278793.22889999999</v>
      </c>
      <c r="I28" s="111"/>
      <c r="J28" s="111">
        <f t="shared" si="1"/>
        <v>278793.22889999999</v>
      </c>
      <c r="K28" s="111">
        <f t="shared" si="2"/>
        <v>27879.322889999999</v>
      </c>
      <c r="L28" s="111"/>
      <c r="M28" s="162"/>
      <c r="N28" s="162"/>
      <c r="O28" s="112"/>
      <c r="P28" s="162"/>
      <c r="Q28" s="112"/>
      <c r="R28" s="112"/>
      <c r="S28" s="112"/>
      <c r="T28" s="112"/>
      <c r="U28" s="112"/>
      <c r="V28" s="112"/>
      <c r="W28" s="112">
        <f t="shared" si="3"/>
        <v>306672.55179</v>
      </c>
      <c r="X28" s="112">
        <f t="shared" si="4"/>
        <v>3680.0706214800002</v>
      </c>
    </row>
    <row r="29" spans="1:24" s="155" customFormat="1">
      <c r="A29" s="84">
        <v>18</v>
      </c>
      <c r="B29" s="150" t="s">
        <v>206</v>
      </c>
      <c r="C29" s="84">
        <v>0.5</v>
      </c>
      <c r="D29" s="84" t="s">
        <v>324</v>
      </c>
      <c r="E29" s="121">
        <v>4.46</v>
      </c>
      <c r="F29" s="111">
        <v>17697</v>
      </c>
      <c r="G29" s="83">
        <v>1.95</v>
      </c>
      <c r="H29" s="111">
        <f t="shared" si="0"/>
        <v>76955.40449999999</v>
      </c>
      <c r="I29" s="111"/>
      <c r="J29" s="111">
        <f t="shared" si="1"/>
        <v>76955.40449999999</v>
      </c>
      <c r="K29" s="111">
        <f t="shared" si="2"/>
        <v>7695.5404499999995</v>
      </c>
      <c r="L29" s="111"/>
      <c r="M29" s="162"/>
      <c r="N29" s="162"/>
      <c r="O29" s="112"/>
      <c r="P29" s="162"/>
      <c r="Q29" s="112"/>
      <c r="R29" s="112"/>
      <c r="S29" s="112"/>
      <c r="T29" s="112"/>
      <c r="U29" s="112"/>
      <c r="V29" s="112"/>
      <c r="W29" s="112">
        <f t="shared" si="3"/>
        <v>84650.94494999999</v>
      </c>
      <c r="X29" s="112">
        <f t="shared" si="4"/>
        <v>1015.8113394</v>
      </c>
    </row>
    <row r="30" spans="1:24" s="155" customFormat="1">
      <c r="A30" s="84">
        <v>19</v>
      </c>
      <c r="B30" s="150" t="s">
        <v>206</v>
      </c>
      <c r="C30" s="84">
        <v>1</v>
      </c>
      <c r="D30" s="84" t="s">
        <v>325</v>
      </c>
      <c r="E30" s="121">
        <v>3.41</v>
      </c>
      <c r="F30" s="111">
        <v>17697</v>
      </c>
      <c r="G30" s="83">
        <v>1.95</v>
      </c>
      <c r="H30" s="111">
        <f t="shared" si="0"/>
        <v>117676.20150000001</v>
      </c>
      <c r="I30" s="111"/>
      <c r="J30" s="111">
        <f t="shared" si="1"/>
        <v>117676.20150000001</v>
      </c>
      <c r="K30" s="111">
        <f t="shared" si="2"/>
        <v>11767.620150000002</v>
      </c>
      <c r="L30" s="111"/>
      <c r="M30" s="162"/>
      <c r="N30" s="162"/>
      <c r="O30" s="112"/>
      <c r="P30" s="162"/>
      <c r="Q30" s="112"/>
      <c r="R30" s="112"/>
      <c r="S30" s="112"/>
      <c r="T30" s="112"/>
      <c r="U30" s="112"/>
      <c r="V30" s="112"/>
      <c r="W30" s="112">
        <f t="shared" si="3"/>
        <v>129443.82165000001</v>
      </c>
      <c r="X30" s="112">
        <f t="shared" si="4"/>
        <v>1553.3258598000002</v>
      </c>
    </row>
    <row r="31" spans="1:24" s="155" customFormat="1">
      <c r="A31" s="84">
        <v>20</v>
      </c>
      <c r="B31" s="150" t="s">
        <v>209</v>
      </c>
      <c r="C31" s="84">
        <v>1</v>
      </c>
      <c r="D31" s="84" t="s">
        <v>13</v>
      </c>
      <c r="E31" s="121">
        <v>4</v>
      </c>
      <c r="F31" s="111">
        <v>17697</v>
      </c>
      <c r="G31" s="83">
        <v>1.23</v>
      </c>
      <c r="H31" s="111">
        <f t="shared" si="0"/>
        <v>87069.24</v>
      </c>
      <c r="I31" s="111"/>
      <c r="J31" s="111">
        <f t="shared" si="1"/>
        <v>87069.24</v>
      </c>
      <c r="K31" s="111">
        <f t="shared" si="2"/>
        <v>8706.9240000000009</v>
      </c>
      <c r="L31" s="111"/>
      <c r="M31" s="162"/>
      <c r="N31" s="162"/>
      <c r="O31" s="112"/>
      <c r="P31" s="162"/>
      <c r="Q31" s="112"/>
      <c r="R31" s="112"/>
      <c r="S31" s="112"/>
      <c r="T31" s="112"/>
      <c r="U31" s="112"/>
      <c r="V31" s="112"/>
      <c r="W31" s="112">
        <f t="shared" si="3"/>
        <v>95776.164000000004</v>
      </c>
      <c r="X31" s="112">
        <f t="shared" si="4"/>
        <v>1149.3139680000002</v>
      </c>
    </row>
    <row r="32" spans="1:24" s="155" customFormat="1">
      <c r="A32" s="84">
        <v>21</v>
      </c>
      <c r="B32" s="150" t="s">
        <v>209</v>
      </c>
      <c r="C32" s="84">
        <v>1</v>
      </c>
      <c r="D32" s="84" t="s">
        <v>13</v>
      </c>
      <c r="E32" s="121">
        <v>3.94</v>
      </c>
      <c r="F32" s="111">
        <v>17697</v>
      </c>
      <c r="G32" s="83">
        <v>1.23</v>
      </c>
      <c r="H32" s="111">
        <f t="shared" si="0"/>
        <v>85763.201399999991</v>
      </c>
      <c r="I32" s="111"/>
      <c r="J32" s="111">
        <f t="shared" si="1"/>
        <v>85763.201399999991</v>
      </c>
      <c r="K32" s="111">
        <f t="shared" si="2"/>
        <v>8576.3201399999998</v>
      </c>
      <c r="L32" s="111"/>
      <c r="M32" s="163"/>
      <c r="N32" s="162"/>
      <c r="O32" s="112"/>
      <c r="P32" s="162"/>
      <c r="Q32" s="112"/>
      <c r="R32" s="112"/>
      <c r="S32" s="112"/>
      <c r="T32" s="112"/>
      <c r="U32" s="112"/>
      <c r="V32" s="112"/>
      <c r="W32" s="112">
        <f t="shared" si="3"/>
        <v>94339.521539999987</v>
      </c>
      <c r="X32" s="112">
        <f t="shared" si="4"/>
        <v>1132.0742584799998</v>
      </c>
    </row>
    <row r="33" spans="1:24" s="155" customFormat="1">
      <c r="A33" s="84">
        <v>22</v>
      </c>
      <c r="B33" s="150" t="s">
        <v>209</v>
      </c>
      <c r="C33" s="84">
        <v>1</v>
      </c>
      <c r="D33" s="84" t="s">
        <v>13</v>
      </c>
      <c r="E33" s="121">
        <v>3.94</v>
      </c>
      <c r="F33" s="111">
        <v>17697</v>
      </c>
      <c r="G33" s="83">
        <v>1.23</v>
      </c>
      <c r="H33" s="111">
        <f t="shared" si="0"/>
        <v>85763.201399999991</v>
      </c>
      <c r="I33" s="111"/>
      <c r="J33" s="111">
        <f t="shared" si="1"/>
        <v>85763.201399999991</v>
      </c>
      <c r="K33" s="111">
        <f t="shared" si="2"/>
        <v>8576.3201399999998</v>
      </c>
      <c r="L33" s="111"/>
      <c r="M33" s="162"/>
      <c r="N33" s="162"/>
      <c r="O33" s="112"/>
      <c r="P33" s="162"/>
      <c r="Q33" s="112"/>
      <c r="R33" s="112"/>
      <c r="S33" s="112"/>
      <c r="T33" s="112"/>
      <c r="U33" s="112"/>
      <c r="V33" s="112"/>
      <c r="W33" s="112">
        <f t="shared" si="3"/>
        <v>94339.521539999987</v>
      </c>
      <c r="X33" s="112">
        <f t="shared" si="4"/>
        <v>1132.0742584799998</v>
      </c>
    </row>
    <row r="34" spans="1:24" s="155" customFormat="1">
      <c r="A34" s="84">
        <v>23</v>
      </c>
      <c r="B34" s="150" t="s">
        <v>209</v>
      </c>
      <c r="C34" s="84">
        <v>1</v>
      </c>
      <c r="D34" s="84" t="s">
        <v>13</v>
      </c>
      <c r="E34" s="121">
        <v>3.52</v>
      </c>
      <c r="F34" s="111">
        <v>17697</v>
      </c>
      <c r="G34" s="83">
        <v>1.23</v>
      </c>
      <c r="H34" s="111">
        <f t="shared" si="0"/>
        <v>76620.931200000006</v>
      </c>
      <c r="I34" s="111"/>
      <c r="J34" s="111">
        <f t="shared" si="1"/>
        <v>76620.931200000006</v>
      </c>
      <c r="K34" s="111">
        <f t="shared" si="2"/>
        <v>7662.0931200000014</v>
      </c>
      <c r="L34" s="111"/>
      <c r="M34" s="162"/>
      <c r="N34" s="162"/>
      <c r="O34" s="112"/>
      <c r="P34" s="162"/>
      <c r="Q34" s="112"/>
      <c r="R34" s="112"/>
      <c r="S34" s="112"/>
      <c r="T34" s="112"/>
      <c r="U34" s="112"/>
      <c r="V34" s="112"/>
      <c r="W34" s="112">
        <f t="shared" si="3"/>
        <v>84283.024320000011</v>
      </c>
      <c r="X34" s="112">
        <f t="shared" si="4"/>
        <v>1011.3962918400001</v>
      </c>
    </row>
    <row r="35" spans="1:24" s="155" customFormat="1">
      <c r="A35" s="84">
        <v>24</v>
      </c>
      <c r="B35" s="151" t="s">
        <v>209</v>
      </c>
      <c r="C35" s="84">
        <v>1</v>
      </c>
      <c r="D35" s="84" t="s">
        <v>13</v>
      </c>
      <c r="E35" s="121">
        <v>3.85</v>
      </c>
      <c r="F35" s="111">
        <v>17697</v>
      </c>
      <c r="G35" s="83">
        <v>1.23</v>
      </c>
      <c r="H35" s="111">
        <f t="shared" si="0"/>
        <v>83804.143499999991</v>
      </c>
      <c r="I35" s="111"/>
      <c r="J35" s="111">
        <f t="shared" si="1"/>
        <v>83804.143499999991</v>
      </c>
      <c r="K35" s="111">
        <f t="shared" si="2"/>
        <v>8380.4143499999991</v>
      </c>
      <c r="L35" s="111"/>
      <c r="M35" s="162"/>
      <c r="N35" s="162"/>
      <c r="O35" s="112"/>
      <c r="P35" s="162"/>
      <c r="Q35" s="112"/>
      <c r="R35" s="112"/>
      <c r="S35" s="112"/>
      <c r="T35" s="112"/>
      <c r="U35" s="112"/>
      <c r="V35" s="112"/>
      <c r="W35" s="112">
        <f t="shared" si="3"/>
        <v>92184.557849999983</v>
      </c>
      <c r="X35" s="112">
        <f t="shared" si="4"/>
        <v>1106.2146941999997</v>
      </c>
    </row>
    <row r="36" spans="1:24" s="155" customFormat="1">
      <c r="A36" s="84">
        <v>25</v>
      </c>
      <c r="B36" s="150" t="s">
        <v>209</v>
      </c>
      <c r="C36" s="84">
        <v>1</v>
      </c>
      <c r="D36" s="84" t="s">
        <v>13</v>
      </c>
      <c r="E36" s="121">
        <v>3.94</v>
      </c>
      <c r="F36" s="111">
        <v>17697</v>
      </c>
      <c r="G36" s="83">
        <v>1.23</v>
      </c>
      <c r="H36" s="111">
        <f t="shared" si="0"/>
        <v>85763.201399999991</v>
      </c>
      <c r="I36" s="111"/>
      <c r="J36" s="111">
        <f t="shared" si="1"/>
        <v>85763.201399999991</v>
      </c>
      <c r="K36" s="111">
        <f t="shared" si="2"/>
        <v>8576.3201399999998</v>
      </c>
      <c r="L36" s="111"/>
      <c r="M36" s="162"/>
      <c r="N36" s="162"/>
      <c r="O36" s="112"/>
      <c r="P36" s="162"/>
      <c r="Q36" s="112"/>
      <c r="R36" s="112"/>
      <c r="S36" s="112"/>
      <c r="T36" s="112"/>
      <c r="U36" s="112"/>
      <c r="V36" s="112"/>
      <c r="W36" s="112">
        <f t="shared" si="3"/>
        <v>94339.521539999987</v>
      </c>
      <c r="X36" s="112">
        <f t="shared" si="4"/>
        <v>1132.0742584799998</v>
      </c>
    </row>
    <row r="37" spans="1:24" s="155" customFormat="1" ht="25.5">
      <c r="A37" s="84">
        <v>26</v>
      </c>
      <c r="B37" s="150" t="s">
        <v>216</v>
      </c>
      <c r="C37" s="84">
        <v>1</v>
      </c>
      <c r="D37" s="84" t="s">
        <v>12</v>
      </c>
      <c r="E37" s="121">
        <v>5.31</v>
      </c>
      <c r="F37" s="111">
        <v>17697</v>
      </c>
      <c r="G37" s="83">
        <v>1.75</v>
      </c>
      <c r="H37" s="111">
        <f t="shared" si="0"/>
        <v>164449.3725</v>
      </c>
      <c r="I37" s="111"/>
      <c r="J37" s="111">
        <f t="shared" si="1"/>
        <v>164449.3725</v>
      </c>
      <c r="K37" s="111">
        <f t="shared" si="2"/>
        <v>16444.937249999999</v>
      </c>
      <c r="L37" s="111"/>
      <c r="M37" s="162"/>
      <c r="N37" s="162"/>
      <c r="O37" s="112"/>
      <c r="P37" s="162"/>
      <c r="Q37" s="112"/>
      <c r="R37" s="112"/>
      <c r="S37" s="112"/>
      <c r="T37" s="112"/>
      <c r="U37" s="112"/>
      <c r="V37" s="112"/>
      <c r="W37" s="112">
        <f t="shared" si="3"/>
        <v>180894.30974999999</v>
      </c>
      <c r="X37" s="112">
        <f t="shared" si="4"/>
        <v>2170.7317169999997</v>
      </c>
    </row>
    <row r="38" spans="1:24" s="155" customFormat="1" ht="25.5">
      <c r="A38" s="84">
        <v>27</v>
      </c>
      <c r="B38" s="150" t="s">
        <v>218</v>
      </c>
      <c r="C38" s="84">
        <v>0.5</v>
      </c>
      <c r="D38" s="84" t="s">
        <v>12</v>
      </c>
      <c r="E38" s="121">
        <v>5.31</v>
      </c>
      <c r="F38" s="111">
        <v>17697</v>
      </c>
      <c r="G38" s="83">
        <v>1.23</v>
      </c>
      <c r="H38" s="111">
        <f t="shared" si="0"/>
        <v>57792.208049999994</v>
      </c>
      <c r="I38" s="111"/>
      <c r="J38" s="111">
        <f t="shared" si="1"/>
        <v>57792.208049999994</v>
      </c>
      <c r="K38" s="111">
        <f t="shared" si="2"/>
        <v>5779.2208049999999</v>
      </c>
      <c r="L38" s="111"/>
      <c r="M38" s="162"/>
      <c r="N38" s="162"/>
      <c r="O38" s="112"/>
      <c r="P38" s="162"/>
      <c r="Q38" s="112"/>
      <c r="R38" s="112"/>
      <c r="S38" s="112"/>
      <c r="T38" s="112"/>
      <c r="U38" s="112"/>
      <c r="V38" s="112"/>
      <c r="W38" s="112">
        <f t="shared" si="3"/>
        <v>63571.428854999991</v>
      </c>
      <c r="X38" s="112">
        <f t="shared" si="4"/>
        <v>762.85714625999981</v>
      </c>
    </row>
    <row r="39" spans="1:24" s="155" customFormat="1" ht="25.5">
      <c r="A39" s="84">
        <v>28</v>
      </c>
      <c r="B39" s="150" t="s">
        <v>218</v>
      </c>
      <c r="C39" s="84">
        <v>0.5</v>
      </c>
      <c r="D39" s="84" t="s">
        <v>12</v>
      </c>
      <c r="E39" s="121">
        <v>4.8600000000000003</v>
      </c>
      <c r="F39" s="111">
        <v>17697</v>
      </c>
      <c r="G39" s="83">
        <v>1.23</v>
      </c>
      <c r="H39" s="111">
        <f t="shared" si="0"/>
        <v>52894.563300000009</v>
      </c>
      <c r="I39" s="111"/>
      <c r="J39" s="111">
        <f t="shared" si="1"/>
        <v>52894.563300000009</v>
      </c>
      <c r="K39" s="111">
        <f t="shared" si="2"/>
        <v>5289.4563300000009</v>
      </c>
      <c r="L39" s="111"/>
      <c r="M39" s="162"/>
      <c r="N39" s="162"/>
      <c r="O39" s="112"/>
      <c r="P39" s="162"/>
      <c r="Q39" s="112"/>
      <c r="R39" s="112"/>
      <c r="S39" s="112"/>
      <c r="T39" s="112"/>
      <c r="U39" s="112"/>
      <c r="V39" s="112"/>
      <c r="W39" s="112">
        <f t="shared" si="3"/>
        <v>58184.01963000001</v>
      </c>
      <c r="X39" s="112">
        <f t="shared" si="4"/>
        <v>698.20823556000016</v>
      </c>
    </row>
    <row r="40" spans="1:24" s="155" customFormat="1">
      <c r="A40" s="84">
        <v>29</v>
      </c>
      <c r="B40" s="150" t="s">
        <v>220</v>
      </c>
      <c r="C40" s="84">
        <v>1</v>
      </c>
      <c r="D40" s="84" t="s">
        <v>11</v>
      </c>
      <c r="E40" s="121">
        <v>4.46</v>
      </c>
      <c r="F40" s="111">
        <v>17697</v>
      </c>
      <c r="G40" s="83">
        <v>1.23</v>
      </c>
      <c r="H40" s="111">
        <f t="shared" si="0"/>
        <v>97082.20259999999</v>
      </c>
      <c r="I40" s="111"/>
      <c r="J40" s="111">
        <f t="shared" si="1"/>
        <v>97082.20259999999</v>
      </c>
      <c r="K40" s="111">
        <f t="shared" si="2"/>
        <v>9708.2202600000001</v>
      </c>
      <c r="L40" s="111"/>
      <c r="M40" s="162">
        <f>17697*30%</f>
        <v>5309.0999999999995</v>
      </c>
      <c r="N40" s="162"/>
      <c r="O40" s="112"/>
      <c r="P40" s="162"/>
      <c r="Q40" s="112"/>
      <c r="R40" s="112"/>
      <c r="S40" s="112"/>
      <c r="T40" s="112"/>
      <c r="U40" s="112"/>
      <c r="V40" s="112"/>
      <c r="W40" s="112">
        <f t="shared" si="3"/>
        <v>112099.52286</v>
      </c>
      <c r="X40" s="112">
        <f t="shared" si="4"/>
        <v>1345.1942743199997</v>
      </c>
    </row>
    <row r="41" spans="1:24" s="155" customFormat="1" ht="25.5">
      <c r="A41" s="84">
        <v>30</v>
      </c>
      <c r="B41" s="151" t="s">
        <v>222</v>
      </c>
      <c r="C41" s="84">
        <v>1</v>
      </c>
      <c r="D41" s="84" t="s">
        <v>11</v>
      </c>
      <c r="E41" s="121">
        <v>4.2300000000000004</v>
      </c>
      <c r="F41" s="111">
        <v>17697</v>
      </c>
      <c r="G41" s="83">
        <v>1.23</v>
      </c>
      <c r="H41" s="111">
        <f t="shared" si="0"/>
        <v>92075.721300000019</v>
      </c>
      <c r="I41" s="111"/>
      <c r="J41" s="111">
        <f t="shared" si="1"/>
        <v>92075.721300000019</v>
      </c>
      <c r="K41" s="111">
        <f t="shared" si="2"/>
        <v>9207.5721300000023</v>
      </c>
      <c r="L41" s="111"/>
      <c r="M41" s="162"/>
      <c r="N41" s="162"/>
      <c r="O41" s="112"/>
      <c r="P41" s="162"/>
      <c r="Q41" s="112"/>
      <c r="R41" s="112"/>
      <c r="S41" s="112"/>
      <c r="T41" s="112"/>
      <c r="U41" s="112"/>
      <c r="V41" s="112"/>
      <c r="W41" s="112">
        <f t="shared" si="3"/>
        <v>101283.29343000002</v>
      </c>
      <c r="X41" s="112">
        <f t="shared" si="4"/>
        <v>1215.3995211600002</v>
      </c>
    </row>
    <row r="42" spans="1:24" s="155" customFormat="1">
      <c r="A42" s="84">
        <v>31</v>
      </c>
      <c r="B42" s="150" t="s">
        <v>224</v>
      </c>
      <c r="C42" s="84">
        <v>1</v>
      </c>
      <c r="D42" s="84" t="s">
        <v>11</v>
      </c>
      <c r="E42" s="121">
        <v>4.46</v>
      </c>
      <c r="F42" s="111">
        <v>17697</v>
      </c>
      <c r="G42" s="83">
        <v>1.23</v>
      </c>
      <c r="H42" s="111">
        <f t="shared" si="0"/>
        <v>97082.20259999999</v>
      </c>
      <c r="I42" s="111"/>
      <c r="J42" s="111">
        <f t="shared" si="1"/>
        <v>97082.20259999999</v>
      </c>
      <c r="K42" s="111">
        <f t="shared" si="2"/>
        <v>9708.2202600000001</v>
      </c>
      <c r="L42" s="111"/>
      <c r="M42" s="162"/>
      <c r="N42" s="162"/>
      <c r="O42" s="112"/>
      <c r="P42" s="162"/>
      <c r="Q42" s="112"/>
      <c r="R42" s="112"/>
      <c r="S42" s="112"/>
      <c r="T42" s="112"/>
      <c r="U42" s="112"/>
      <c r="V42" s="112"/>
      <c r="W42" s="112">
        <f t="shared" si="3"/>
        <v>106790.42285999999</v>
      </c>
      <c r="X42" s="112">
        <f t="shared" si="4"/>
        <v>1281.48507432</v>
      </c>
    </row>
    <row r="43" spans="1:24" s="155" customFormat="1" ht="25.5">
      <c r="A43" s="84">
        <v>32</v>
      </c>
      <c r="B43" s="150" t="s">
        <v>226</v>
      </c>
      <c r="C43" s="84">
        <v>1</v>
      </c>
      <c r="D43" s="84" t="s">
        <v>321</v>
      </c>
      <c r="E43" s="121">
        <v>4.46</v>
      </c>
      <c r="F43" s="111">
        <v>17697</v>
      </c>
      <c r="G43" s="83">
        <v>1.23</v>
      </c>
      <c r="H43" s="111">
        <f t="shared" si="0"/>
        <v>97082.20259999999</v>
      </c>
      <c r="I43" s="111"/>
      <c r="J43" s="111">
        <f t="shared" si="1"/>
        <v>97082.20259999999</v>
      </c>
      <c r="K43" s="111">
        <f t="shared" si="2"/>
        <v>9708.2202600000001</v>
      </c>
      <c r="L43" s="111"/>
      <c r="M43" s="162"/>
      <c r="N43" s="162"/>
      <c r="O43" s="112"/>
      <c r="P43" s="162"/>
      <c r="Q43" s="112"/>
      <c r="R43" s="112"/>
      <c r="S43" s="112"/>
      <c r="T43" s="112"/>
      <c r="U43" s="112"/>
      <c r="V43" s="112"/>
      <c r="W43" s="112">
        <f t="shared" si="3"/>
        <v>106790.42285999999</v>
      </c>
      <c r="X43" s="112">
        <f t="shared" si="4"/>
        <v>1281.48507432</v>
      </c>
    </row>
    <row r="44" spans="1:24" s="155" customFormat="1">
      <c r="A44" s="84">
        <v>33</v>
      </c>
      <c r="B44" s="150" t="s">
        <v>228</v>
      </c>
      <c r="C44" s="84">
        <v>0.5</v>
      </c>
      <c r="D44" s="149" t="s">
        <v>14</v>
      </c>
      <c r="E44" s="122">
        <v>3.16</v>
      </c>
      <c r="F44" s="111">
        <v>17697</v>
      </c>
      <c r="G44" s="83">
        <v>1.23</v>
      </c>
      <c r="H44" s="111">
        <f t="shared" si="0"/>
        <v>34392.349800000004</v>
      </c>
      <c r="I44" s="111"/>
      <c r="J44" s="111">
        <f t="shared" si="1"/>
        <v>34392.349800000004</v>
      </c>
      <c r="K44" s="111">
        <f t="shared" si="2"/>
        <v>3439.2349800000006</v>
      </c>
      <c r="L44" s="111"/>
      <c r="M44" s="162"/>
      <c r="N44" s="162"/>
      <c r="O44" s="112"/>
      <c r="P44" s="162"/>
      <c r="Q44" s="112"/>
      <c r="R44" s="112"/>
      <c r="S44" s="112"/>
      <c r="T44" s="112"/>
      <c r="U44" s="112"/>
      <c r="V44" s="112"/>
      <c r="W44" s="112">
        <f t="shared" si="3"/>
        <v>37831.584780000005</v>
      </c>
      <c r="X44" s="112">
        <f t="shared" si="4"/>
        <v>453.97901736000006</v>
      </c>
    </row>
    <row r="45" spans="1:24" s="155" customFormat="1">
      <c r="A45" s="84">
        <v>34</v>
      </c>
      <c r="B45" s="150" t="s">
        <v>228</v>
      </c>
      <c r="C45" s="84">
        <v>0.5</v>
      </c>
      <c r="D45" s="84" t="s">
        <v>14</v>
      </c>
      <c r="E45" s="121">
        <v>3.12</v>
      </c>
      <c r="F45" s="111">
        <v>17697</v>
      </c>
      <c r="G45" s="83">
        <v>1.23</v>
      </c>
      <c r="H45" s="111">
        <f t="shared" si="0"/>
        <v>33957.003599999996</v>
      </c>
      <c r="I45" s="111"/>
      <c r="J45" s="111">
        <f t="shared" si="1"/>
        <v>33957.003599999996</v>
      </c>
      <c r="K45" s="111">
        <f t="shared" si="2"/>
        <v>3395.7003599999998</v>
      </c>
      <c r="L45" s="111"/>
      <c r="M45" s="162"/>
      <c r="N45" s="162"/>
      <c r="O45" s="112"/>
      <c r="P45" s="162"/>
      <c r="Q45" s="112"/>
      <c r="R45" s="112"/>
      <c r="S45" s="112"/>
      <c r="T45" s="112"/>
      <c r="U45" s="112"/>
      <c r="V45" s="112"/>
      <c r="W45" s="112">
        <f t="shared" si="3"/>
        <v>37352.703959999999</v>
      </c>
      <c r="X45" s="112">
        <f t="shared" si="4"/>
        <v>448.23244751999999</v>
      </c>
    </row>
    <row r="46" spans="1:24" s="155" customFormat="1" ht="25.5">
      <c r="A46" s="84">
        <v>35</v>
      </c>
      <c r="B46" s="150" t="s">
        <v>230</v>
      </c>
      <c r="C46" s="84">
        <v>1</v>
      </c>
      <c r="D46" s="84" t="s">
        <v>14</v>
      </c>
      <c r="E46" s="121">
        <v>3.16</v>
      </c>
      <c r="F46" s="111">
        <v>17697</v>
      </c>
      <c r="G46" s="83">
        <v>1.23</v>
      </c>
      <c r="H46" s="111">
        <f t="shared" si="0"/>
        <v>68784.699600000007</v>
      </c>
      <c r="I46" s="111"/>
      <c r="J46" s="111">
        <f t="shared" si="1"/>
        <v>68784.699600000007</v>
      </c>
      <c r="K46" s="111">
        <f t="shared" si="2"/>
        <v>6878.4699600000013</v>
      </c>
      <c r="L46" s="111"/>
      <c r="M46" s="162"/>
      <c r="N46" s="162"/>
      <c r="O46" s="112"/>
      <c r="P46" s="162"/>
      <c r="Q46" s="112"/>
      <c r="R46" s="112"/>
      <c r="S46" s="112"/>
      <c r="T46" s="112"/>
      <c r="U46" s="112"/>
      <c r="V46" s="112"/>
      <c r="W46" s="112">
        <f t="shared" si="3"/>
        <v>75663.169560000009</v>
      </c>
      <c r="X46" s="112">
        <f t="shared" si="4"/>
        <v>907.95803472000011</v>
      </c>
    </row>
    <row r="47" spans="1:24" s="155" customFormat="1">
      <c r="A47" s="84">
        <v>36</v>
      </c>
      <c r="B47" s="150" t="s">
        <v>232</v>
      </c>
      <c r="C47" s="84">
        <v>1</v>
      </c>
      <c r="D47" s="84" t="s">
        <v>326</v>
      </c>
      <c r="E47" s="121">
        <v>4.75</v>
      </c>
      <c r="F47" s="111">
        <v>17697</v>
      </c>
      <c r="G47" s="83">
        <v>1.75</v>
      </c>
      <c r="H47" s="111">
        <f t="shared" si="0"/>
        <v>147106.3125</v>
      </c>
      <c r="I47" s="111"/>
      <c r="J47" s="111">
        <f t="shared" si="1"/>
        <v>147106.3125</v>
      </c>
      <c r="K47" s="111">
        <f t="shared" si="2"/>
        <v>14710.63125</v>
      </c>
      <c r="L47" s="111"/>
      <c r="M47" s="162"/>
      <c r="N47" s="162"/>
      <c r="O47" s="112"/>
      <c r="P47" s="162"/>
      <c r="Q47" s="112"/>
      <c r="R47" s="112"/>
      <c r="S47" s="112"/>
      <c r="T47" s="112">
        <f>J47*40%</f>
        <v>58842.525000000001</v>
      </c>
      <c r="U47" s="112"/>
      <c r="V47" s="112"/>
      <c r="W47" s="112">
        <f t="shared" si="3"/>
        <v>220659.46875</v>
      </c>
      <c r="X47" s="112">
        <f t="shared" si="4"/>
        <v>2647.9136250000001</v>
      </c>
    </row>
    <row r="48" spans="1:24" s="155" customFormat="1">
      <c r="A48" s="84">
        <v>37</v>
      </c>
      <c r="B48" s="150" t="s">
        <v>232</v>
      </c>
      <c r="C48" s="84">
        <v>1</v>
      </c>
      <c r="D48" s="84" t="s">
        <v>326</v>
      </c>
      <c r="E48" s="121">
        <v>4.75</v>
      </c>
      <c r="F48" s="111">
        <v>17697</v>
      </c>
      <c r="G48" s="83">
        <v>1.75</v>
      </c>
      <c r="H48" s="111">
        <f t="shared" si="0"/>
        <v>147106.3125</v>
      </c>
      <c r="I48" s="111"/>
      <c r="J48" s="111">
        <f t="shared" si="1"/>
        <v>147106.3125</v>
      </c>
      <c r="K48" s="111">
        <f t="shared" si="2"/>
        <v>14710.63125</v>
      </c>
      <c r="L48" s="111"/>
      <c r="M48" s="162"/>
      <c r="N48" s="162"/>
      <c r="O48" s="112"/>
      <c r="P48" s="162"/>
      <c r="Q48" s="112"/>
      <c r="R48" s="112"/>
      <c r="S48" s="112"/>
      <c r="T48" s="112"/>
      <c r="U48" s="112"/>
      <c r="V48" s="112"/>
      <c r="W48" s="112">
        <f t="shared" si="3"/>
        <v>161816.94375000001</v>
      </c>
      <c r="X48" s="112">
        <f t="shared" si="4"/>
        <v>1941.8033250000001</v>
      </c>
    </row>
    <row r="49" spans="1:24" s="155" customFormat="1">
      <c r="A49" s="84">
        <v>38</v>
      </c>
      <c r="B49" s="150" t="s">
        <v>232</v>
      </c>
      <c r="C49" s="84">
        <v>1</v>
      </c>
      <c r="D49" s="110" t="s">
        <v>326</v>
      </c>
      <c r="E49" s="166">
        <v>4.62</v>
      </c>
      <c r="F49" s="111">
        <v>17697</v>
      </c>
      <c r="G49" s="83">
        <v>1.75</v>
      </c>
      <c r="H49" s="111">
        <f t="shared" si="0"/>
        <v>143080.245</v>
      </c>
      <c r="I49" s="111"/>
      <c r="J49" s="111">
        <f t="shared" si="1"/>
        <v>143080.245</v>
      </c>
      <c r="K49" s="111">
        <f t="shared" si="2"/>
        <v>14308.0245</v>
      </c>
      <c r="L49" s="111"/>
      <c r="M49" s="162"/>
      <c r="N49" s="162"/>
      <c r="O49" s="112"/>
      <c r="P49" s="162"/>
      <c r="Q49" s="112"/>
      <c r="R49" s="112"/>
      <c r="S49" s="112"/>
      <c r="T49" s="112"/>
      <c r="U49" s="112"/>
      <c r="V49" s="112"/>
      <c r="W49" s="112">
        <f t="shared" si="3"/>
        <v>157388.26949999999</v>
      </c>
      <c r="X49" s="112">
        <f t="shared" si="4"/>
        <v>1888.659234</v>
      </c>
    </row>
    <row r="50" spans="1:24" s="155" customFormat="1">
      <c r="A50" s="84">
        <v>39</v>
      </c>
      <c r="B50" s="150" t="s">
        <v>232</v>
      </c>
      <c r="C50" s="84">
        <v>1</v>
      </c>
      <c r="D50" s="84" t="s">
        <v>326</v>
      </c>
      <c r="E50" s="121">
        <v>4.62</v>
      </c>
      <c r="F50" s="111">
        <v>17697</v>
      </c>
      <c r="G50" s="83">
        <v>1.75</v>
      </c>
      <c r="H50" s="111">
        <f t="shared" si="0"/>
        <v>143080.245</v>
      </c>
      <c r="I50" s="111"/>
      <c r="J50" s="111">
        <f t="shared" si="1"/>
        <v>143080.245</v>
      </c>
      <c r="K50" s="111">
        <f t="shared" si="2"/>
        <v>14308.0245</v>
      </c>
      <c r="L50" s="111"/>
      <c r="M50" s="162"/>
      <c r="N50" s="162"/>
      <c r="O50" s="112"/>
      <c r="P50" s="162"/>
      <c r="Q50" s="112"/>
      <c r="R50" s="112"/>
      <c r="S50" s="112"/>
      <c r="T50" s="112"/>
      <c r="U50" s="112"/>
      <c r="V50" s="112"/>
      <c r="W50" s="112">
        <f t="shared" si="3"/>
        <v>157388.26949999999</v>
      </c>
      <c r="X50" s="112">
        <f t="shared" si="4"/>
        <v>1888.659234</v>
      </c>
    </row>
    <row r="51" spans="1:24" s="155" customFormat="1">
      <c r="A51" s="84">
        <v>40</v>
      </c>
      <c r="B51" s="150" t="s">
        <v>232</v>
      </c>
      <c r="C51" s="84">
        <v>1</v>
      </c>
      <c r="D51" s="84" t="s">
        <v>326</v>
      </c>
      <c r="E51" s="121">
        <v>4.55</v>
      </c>
      <c r="F51" s="111">
        <v>17697</v>
      </c>
      <c r="G51" s="83">
        <v>1.75</v>
      </c>
      <c r="H51" s="111">
        <f t="shared" si="0"/>
        <v>140912.36249999999</v>
      </c>
      <c r="I51" s="111"/>
      <c r="J51" s="111">
        <f t="shared" si="1"/>
        <v>140912.36249999999</v>
      </c>
      <c r="K51" s="111">
        <f t="shared" si="2"/>
        <v>14091.23625</v>
      </c>
      <c r="L51" s="111"/>
      <c r="M51" s="162"/>
      <c r="N51" s="162"/>
      <c r="O51" s="112"/>
      <c r="P51" s="162"/>
      <c r="Q51" s="112"/>
      <c r="R51" s="112"/>
      <c r="S51" s="112"/>
      <c r="T51" s="112">
        <f>J51*40%</f>
        <v>56364.945</v>
      </c>
      <c r="U51" s="112"/>
      <c r="V51" s="112"/>
      <c r="W51" s="112">
        <f t="shared" si="3"/>
        <v>211368.54374999998</v>
      </c>
      <c r="X51" s="112">
        <f t="shared" si="4"/>
        <v>2536.422525</v>
      </c>
    </row>
    <row r="52" spans="1:24" s="155" customFormat="1">
      <c r="A52" s="84">
        <v>41</v>
      </c>
      <c r="B52" s="150" t="s">
        <v>232</v>
      </c>
      <c r="C52" s="84">
        <v>1</v>
      </c>
      <c r="D52" s="84" t="s">
        <v>326</v>
      </c>
      <c r="E52" s="121">
        <v>4.6900000000000004</v>
      </c>
      <c r="F52" s="111">
        <v>17697</v>
      </c>
      <c r="G52" s="83">
        <v>1.75</v>
      </c>
      <c r="H52" s="111">
        <f t="shared" si="0"/>
        <v>145248.1275</v>
      </c>
      <c r="I52" s="111"/>
      <c r="J52" s="111">
        <f t="shared" si="1"/>
        <v>145248.1275</v>
      </c>
      <c r="K52" s="111">
        <f t="shared" si="2"/>
        <v>14524.812750000001</v>
      </c>
      <c r="L52" s="111"/>
      <c r="M52" s="162"/>
      <c r="N52" s="162"/>
      <c r="O52" s="112"/>
      <c r="P52" s="162"/>
      <c r="Q52" s="112"/>
      <c r="R52" s="112"/>
      <c r="S52" s="112"/>
      <c r="T52" s="112">
        <f>J52*40%</f>
        <v>58099.251000000004</v>
      </c>
      <c r="U52" s="112"/>
      <c r="V52" s="112"/>
      <c r="W52" s="112">
        <f t="shared" si="3"/>
        <v>217872.19125000003</v>
      </c>
      <c r="X52" s="112">
        <f t="shared" si="4"/>
        <v>2614.4662950000002</v>
      </c>
    </row>
    <row r="53" spans="1:24" s="155" customFormat="1">
      <c r="A53" s="84">
        <v>42</v>
      </c>
      <c r="B53" s="150" t="s">
        <v>232</v>
      </c>
      <c r="C53" s="84">
        <v>1</v>
      </c>
      <c r="D53" s="84" t="s">
        <v>326</v>
      </c>
      <c r="E53" s="121">
        <v>4.62</v>
      </c>
      <c r="F53" s="111">
        <v>17697</v>
      </c>
      <c r="G53" s="83">
        <v>1.75</v>
      </c>
      <c r="H53" s="111">
        <f t="shared" si="0"/>
        <v>143080.245</v>
      </c>
      <c r="I53" s="111"/>
      <c r="J53" s="111">
        <f t="shared" si="1"/>
        <v>143080.245</v>
      </c>
      <c r="K53" s="111">
        <f t="shared" si="2"/>
        <v>14308.0245</v>
      </c>
      <c r="L53" s="111"/>
      <c r="M53" s="162"/>
      <c r="N53" s="162"/>
      <c r="O53" s="112"/>
      <c r="P53" s="162"/>
      <c r="Q53" s="112"/>
      <c r="R53" s="112"/>
      <c r="S53" s="112"/>
      <c r="T53" s="112">
        <f>J53*40%</f>
        <v>57232.097999999998</v>
      </c>
      <c r="U53" s="112"/>
      <c r="V53" s="112"/>
      <c r="W53" s="112">
        <f t="shared" si="3"/>
        <v>214620.36749999999</v>
      </c>
      <c r="X53" s="112">
        <f t="shared" si="4"/>
        <v>2575.4444100000001</v>
      </c>
    </row>
    <row r="54" spans="1:24" s="155" customFormat="1">
      <c r="A54" s="84">
        <v>43</v>
      </c>
      <c r="B54" s="150" t="s">
        <v>232</v>
      </c>
      <c r="C54" s="84">
        <v>1</v>
      </c>
      <c r="D54" s="84" t="s">
        <v>326</v>
      </c>
      <c r="E54" s="121">
        <v>4.62</v>
      </c>
      <c r="F54" s="111">
        <v>17697</v>
      </c>
      <c r="G54" s="83">
        <v>1.75</v>
      </c>
      <c r="H54" s="111">
        <f t="shared" si="0"/>
        <v>143080.245</v>
      </c>
      <c r="I54" s="111"/>
      <c r="J54" s="111">
        <f t="shared" si="1"/>
        <v>143080.245</v>
      </c>
      <c r="K54" s="111">
        <f t="shared" si="2"/>
        <v>14308.0245</v>
      </c>
      <c r="L54" s="111"/>
      <c r="M54" s="162"/>
      <c r="N54" s="162"/>
      <c r="O54" s="112"/>
      <c r="P54" s="162"/>
      <c r="Q54" s="112"/>
      <c r="R54" s="112"/>
      <c r="S54" s="112"/>
      <c r="T54" s="112">
        <f>J54*40%</f>
        <v>57232.097999999998</v>
      </c>
      <c r="U54" s="112"/>
      <c r="V54" s="112"/>
      <c r="W54" s="112">
        <f t="shared" si="3"/>
        <v>214620.36749999999</v>
      </c>
      <c r="X54" s="112">
        <f t="shared" si="4"/>
        <v>2575.4444100000001</v>
      </c>
    </row>
    <row r="55" spans="1:24" s="155" customFormat="1">
      <c r="A55" s="84">
        <v>44</v>
      </c>
      <c r="B55" s="150" t="s">
        <v>232</v>
      </c>
      <c r="C55" s="84">
        <v>1</v>
      </c>
      <c r="D55" s="84" t="s">
        <v>327</v>
      </c>
      <c r="E55" s="121">
        <v>4.37</v>
      </c>
      <c r="F55" s="111">
        <v>17697</v>
      </c>
      <c r="G55" s="83">
        <v>1.75</v>
      </c>
      <c r="H55" s="111">
        <f t="shared" si="0"/>
        <v>135337.8075</v>
      </c>
      <c r="I55" s="111"/>
      <c r="J55" s="111">
        <f t="shared" si="1"/>
        <v>135337.8075</v>
      </c>
      <c r="K55" s="111">
        <f t="shared" si="2"/>
        <v>13533.78075</v>
      </c>
      <c r="L55" s="111"/>
      <c r="M55" s="162"/>
      <c r="N55" s="162"/>
      <c r="O55" s="112"/>
      <c r="P55" s="162"/>
      <c r="Q55" s="112"/>
      <c r="R55" s="112"/>
      <c r="S55" s="112"/>
      <c r="T55" s="112"/>
      <c r="U55" s="112"/>
      <c r="V55" s="112"/>
      <c r="W55" s="112">
        <f t="shared" si="3"/>
        <v>148871.58825</v>
      </c>
      <c r="X55" s="112">
        <f t="shared" si="4"/>
        <v>1786.4590589999998</v>
      </c>
    </row>
    <row r="56" spans="1:24" s="155" customFormat="1">
      <c r="A56" s="84">
        <v>45</v>
      </c>
      <c r="B56" s="150" t="s">
        <v>232</v>
      </c>
      <c r="C56" s="84">
        <v>1</v>
      </c>
      <c r="D56" s="84" t="s">
        <v>326</v>
      </c>
      <c r="E56" s="121">
        <v>4.62</v>
      </c>
      <c r="F56" s="111">
        <v>17697</v>
      </c>
      <c r="G56" s="83">
        <v>1.75</v>
      </c>
      <c r="H56" s="111">
        <f t="shared" si="0"/>
        <v>143080.245</v>
      </c>
      <c r="I56" s="111"/>
      <c r="J56" s="111">
        <f t="shared" si="1"/>
        <v>143080.245</v>
      </c>
      <c r="K56" s="111">
        <f t="shared" si="2"/>
        <v>14308.0245</v>
      </c>
      <c r="L56" s="111"/>
      <c r="M56" s="162"/>
      <c r="N56" s="162"/>
      <c r="O56" s="112"/>
      <c r="P56" s="162"/>
      <c r="Q56" s="112"/>
      <c r="R56" s="112"/>
      <c r="S56" s="112"/>
      <c r="T56" s="112">
        <f>J56*40%</f>
        <v>57232.097999999998</v>
      </c>
      <c r="U56" s="112"/>
      <c r="V56" s="112"/>
      <c r="W56" s="112">
        <f t="shared" si="3"/>
        <v>214620.36749999999</v>
      </c>
      <c r="X56" s="112">
        <f t="shared" si="4"/>
        <v>2575.4444100000001</v>
      </c>
    </row>
    <row r="57" spans="1:24" s="155" customFormat="1">
      <c r="A57" s="84">
        <v>46</v>
      </c>
      <c r="B57" s="150" t="s">
        <v>232</v>
      </c>
      <c r="C57" s="84">
        <v>1</v>
      </c>
      <c r="D57" s="84" t="s">
        <v>326</v>
      </c>
      <c r="E57" s="121">
        <v>4.62</v>
      </c>
      <c r="F57" s="111">
        <v>17697</v>
      </c>
      <c r="G57" s="83">
        <v>1.75</v>
      </c>
      <c r="H57" s="111">
        <f t="shared" si="0"/>
        <v>143080.245</v>
      </c>
      <c r="I57" s="111"/>
      <c r="J57" s="111">
        <f t="shared" si="1"/>
        <v>143080.245</v>
      </c>
      <c r="K57" s="111">
        <f t="shared" si="2"/>
        <v>14308.0245</v>
      </c>
      <c r="L57" s="111"/>
      <c r="M57" s="162"/>
      <c r="N57" s="162"/>
      <c r="O57" s="112"/>
      <c r="P57" s="162"/>
      <c r="Q57" s="112"/>
      <c r="R57" s="112"/>
      <c r="S57" s="112"/>
      <c r="T57" s="112">
        <f>J57*40%</f>
        <v>57232.097999999998</v>
      </c>
      <c r="U57" s="112"/>
      <c r="V57" s="112"/>
      <c r="W57" s="112">
        <f t="shared" si="3"/>
        <v>214620.36749999999</v>
      </c>
      <c r="X57" s="112">
        <f t="shared" si="4"/>
        <v>2575.4444100000001</v>
      </c>
    </row>
    <row r="58" spans="1:24" s="155" customFormat="1">
      <c r="A58" s="84">
        <v>47</v>
      </c>
      <c r="B58" s="150" t="s">
        <v>232</v>
      </c>
      <c r="C58" s="84">
        <v>1</v>
      </c>
      <c r="D58" s="84" t="s">
        <v>327</v>
      </c>
      <c r="E58" s="121">
        <v>4.3</v>
      </c>
      <c r="F58" s="111">
        <v>17697</v>
      </c>
      <c r="G58" s="83">
        <v>1.75</v>
      </c>
      <c r="H58" s="111">
        <f t="shared" si="0"/>
        <v>133169.92499999999</v>
      </c>
      <c r="I58" s="111"/>
      <c r="J58" s="111">
        <f t="shared" si="1"/>
        <v>133169.92499999999</v>
      </c>
      <c r="K58" s="111">
        <f t="shared" si="2"/>
        <v>13316.9925</v>
      </c>
      <c r="L58" s="111"/>
      <c r="M58" s="162"/>
      <c r="N58" s="162"/>
      <c r="O58" s="112"/>
      <c r="P58" s="162"/>
      <c r="Q58" s="112"/>
      <c r="R58" s="112"/>
      <c r="S58" s="112"/>
      <c r="T58" s="112"/>
      <c r="U58" s="112"/>
      <c r="V58" s="112"/>
      <c r="W58" s="112">
        <f t="shared" si="3"/>
        <v>146486.91749999998</v>
      </c>
      <c r="X58" s="112">
        <f t="shared" si="4"/>
        <v>1757.8430099999998</v>
      </c>
    </row>
    <row r="59" spans="1:24" s="155" customFormat="1">
      <c r="A59" s="84">
        <v>48</v>
      </c>
      <c r="B59" s="150" t="s">
        <v>232</v>
      </c>
      <c r="C59" s="84">
        <v>1</v>
      </c>
      <c r="D59" s="84" t="s">
        <v>327</v>
      </c>
      <c r="E59" s="121">
        <v>4.51</v>
      </c>
      <c r="F59" s="111">
        <v>17697</v>
      </c>
      <c r="G59" s="83">
        <v>1.75</v>
      </c>
      <c r="H59" s="111">
        <f t="shared" si="0"/>
        <v>139673.57250000001</v>
      </c>
      <c r="I59" s="111"/>
      <c r="J59" s="111">
        <f t="shared" si="1"/>
        <v>139673.57250000001</v>
      </c>
      <c r="K59" s="111">
        <f t="shared" si="2"/>
        <v>13967.357250000001</v>
      </c>
      <c r="L59" s="111"/>
      <c r="M59" s="162"/>
      <c r="N59" s="162"/>
      <c r="O59" s="112"/>
      <c r="P59" s="162"/>
      <c r="Q59" s="112"/>
      <c r="R59" s="112"/>
      <c r="S59" s="112">
        <f>H59*35%</f>
        <v>48885.750375000003</v>
      </c>
      <c r="T59" s="112"/>
      <c r="U59" s="112"/>
      <c r="V59" s="112"/>
      <c r="W59" s="112">
        <f t="shared" si="3"/>
        <v>202526.68012500001</v>
      </c>
      <c r="X59" s="112">
        <f t="shared" si="4"/>
        <v>2430.3201615000003</v>
      </c>
    </row>
    <row r="60" spans="1:24" s="155" customFormat="1">
      <c r="A60" s="84">
        <v>49</v>
      </c>
      <c r="B60" s="150" t="s">
        <v>232</v>
      </c>
      <c r="C60" s="84">
        <v>1</v>
      </c>
      <c r="D60" s="84" t="s">
        <v>328</v>
      </c>
      <c r="E60" s="121">
        <v>4.3600000000000003</v>
      </c>
      <c r="F60" s="111">
        <v>17697</v>
      </c>
      <c r="G60" s="83">
        <v>1.75</v>
      </c>
      <c r="H60" s="111">
        <f t="shared" si="0"/>
        <v>135028.11000000002</v>
      </c>
      <c r="I60" s="111"/>
      <c r="J60" s="111">
        <f t="shared" si="1"/>
        <v>135028.11000000002</v>
      </c>
      <c r="K60" s="111">
        <f t="shared" si="2"/>
        <v>13502.811000000002</v>
      </c>
      <c r="L60" s="111"/>
      <c r="M60" s="162"/>
      <c r="N60" s="162"/>
      <c r="O60" s="112"/>
      <c r="P60" s="162"/>
      <c r="Q60" s="112"/>
      <c r="R60" s="112"/>
      <c r="S60" s="112"/>
      <c r="T60" s="112"/>
      <c r="U60" s="112"/>
      <c r="V60" s="112"/>
      <c r="W60" s="112">
        <f t="shared" si="3"/>
        <v>148530.92100000003</v>
      </c>
      <c r="X60" s="112">
        <f t="shared" si="4"/>
        <v>1782.3710520000004</v>
      </c>
    </row>
    <row r="61" spans="1:24" s="155" customFormat="1">
      <c r="A61" s="84">
        <v>50</v>
      </c>
      <c r="B61" s="150" t="s">
        <v>232</v>
      </c>
      <c r="C61" s="84">
        <v>1</v>
      </c>
      <c r="D61" s="84" t="s">
        <v>327</v>
      </c>
      <c r="E61" s="121">
        <v>4.3</v>
      </c>
      <c r="F61" s="111">
        <v>17697</v>
      </c>
      <c r="G61" s="83">
        <v>1.75</v>
      </c>
      <c r="H61" s="111">
        <f t="shared" si="0"/>
        <v>133169.92499999999</v>
      </c>
      <c r="I61" s="111"/>
      <c r="J61" s="111">
        <f t="shared" si="1"/>
        <v>133169.92499999999</v>
      </c>
      <c r="K61" s="111">
        <f t="shared" si="2"/>
        <v>13316.9925</v>
      </c>
      <c r="L61" s="111"/>
      <c r="M61" s="162"/>
      <c r="N61" s="162"/>
      <c r="O61" s="112"/>
      <c r="P61" s="162"/>
      <c r="Q61" s="112"/>
      <c r="R61" s="112"/>
      <c r="S61" s="112">
        <f>H61*35%</f>
        <v>46609.47374999999</v>
      </c>
      <c r="T61" s="112"/>
      <c r="U61" s="112"/>
      <c r="V61" s="112"/>
      <c r="W61" s="112">
        <f t="shared" si="3"/>
        <v>193096.39124999999</v>
      </c>
      <c r="X61" s="112">
        <f t="shared" si="4"/>
        <v>2317.1566949999997</v>
      </c>
    </row>
    <row r="62" spans="1:24" s="155" customFormat="1">
      <c r="A62" s="84">
        <v>51</v>
      </c>
      <c r="B62" s="150" t="s">
        <v>232</v>
      </c>
      <c r="C62" s="84">
        <v>1</v>
      </c>
      <c r="D62" s="84" t="s">
        <v>328</v>
      </c>
      <c r="E62" s="121">
        <v>4.28</v>
      </c>
      <c r="F62" s="111">
        <v>17697</v>
      </c>
      <c r="G62" s="83">
        <v>1.75</v>
      </c>
      <c r="H62" s="111">
        <f t="shared" si="0"/>
        <v>132550.53</v>
      </c>
      <c r="I62" s="111"/>
      <c r="J62" s="111">
        <f t="shared" si="1"/>
        <v>132550.53</v>
      </c>
      <c r="K62" s="111">
        <f t="shared" si="2"/>
        <v>13255.053</v>
      </c>
      <c r="L62" s="111"/>
      <c r="M62" s="162"/>
      <c r="N62" s="162"/>
      <c r="O62" s="112"/>
      <c r="P62" s="162"/>
      <c r="Q62" s="112"/>
      <c r="R62" s="112"/>
      <c r="S62" s="112"/>
      <c r="T62" s="112"/>
      <c r="U62" s="112"/>
      <c r="V62" s="112"/>
      <c r="W62" s="112">
        <f t="shared" si="3"/>
        <v>145805.58299999998</v>
      </c>
      <c r="X62" s="112">
        <f t="shared" si="4"/>
        <v>1749.6669959999997</v>
      </c>
    </row>
    <row r="63" spans="1:24" s="155" customFormat="1">
      <c r="A63" s="84">
        <v>52</v>
      </c>
      <c r="B63" s="150" t="s">
        <v>232</v>
      </c>
      <c r="C63" s="84">
        <v>1</v>
      </c>
      <c r="D63" s="84" t="s">
        <v>328</v>
      </c>
      <c r="E63" s="121">
        <v>4.28</v>
      </c>
      <c r="F63" s="111">
        <v>17697</v>
      </c>
      <c r="G63" s="83">
        <v>1.75</v>
      </c>
      <c r="H63" s="111">
        <f t="shared" si="0"/>
        <v>132550.53</v>
      </c>
      <c r="I63" s="111"/>
      <c r="J63" s="111">
        <f t="shared" si="1"/>
        <v>132550.53</v>
      </c>
      <c r="K63" s="111">
        <f t="shared" si="2"/>
        <v>13255.053</v>
      </c>
      <c r="L63" s="111"/>
      <c r="M63" s="162"/>
      <c r="N63" s="162"/>
      <c r="O63" s="112"/>
      <c r="P63" s="162"/>
      <c r="Q63" s="112"/>
      <c r="R63" s="112"/>
      <c r="S63" s="112"/>
      <c r="T63" s="112"/>
      <c r="U63" s="112"/>
      <c r="V63" s="112"/>
      <c r="W63" s="112">
        <f t="shared" si="3"/>
        <v>145805.58299999998</v>
      </c>
      <c r="X63" s="112">
        <f t="shared" si="4"/>
        <v>1749.6669959999997</v>
      </c>
    </row>
    <row r="64" spans="1:24" s="155" customFormat="1">
      <c r="A64" s="84">
        <v>53</v>
      </c>
      <c r="B64" s="150" t="s">
        <v>232</v>
      </c>
      <c r="C64" s="84">
        <v>1</v>
      </c>
      <c r="D64" s="84" t="s">
        <v>329</v>
      </c>
      <c r="E64" s="121">
        <v>4</v>
      </c>
      <c r="F64" s="111">
        <v>17697</v>
      </c>
      <c r="G64" s="83">
        <v>1.75</v>
      </c>
      <c r="H64" s="111">
        <f t="shared" si="0"/>
        <v>123879</v>
      </c>
      <c r="I64" s="111"/>
      <c r="J64" s="111">
        <f t="shared" si="1"/>
        <v>123879</v>
      </c>
      <c r="K64" s="111">
        <f t="shared" si="2"/>
        <v>12387.900000000001</v>
      </c>
      <c r="L64" s="111"/>
      <c r="M64" s="162"/>
      <c r="N64" s="162"/>
      <c r="O64" s="112"/>
      <c r="P64" s="162"/>
      <c r="Q64" s="112"/>
      <c r="R64" s="112"/>
      <c r="S64" s="112"/>
      <c r="T64" s="112"/>
      <c r="U64" s="112"/>
      <c r="V64" s="112"/>
      <c r="W64" s="112">
        <f t="shared" si="3"/>
        <v>136266.9</v>
      </c>
      <c r="X64" s="112">
        <f t="shared" si="4"/>
        <v>1635.2027999999998</v>
      </c>
    </row>
    <row r="65" spans="1:24" s="155" customFormat="1">
      <c r="A65" s="84">
        <v>54</v>
      </c>
      <c r="B65" s="150" t="s">
        <v>232</v>
      </c>
      <c r="C65" s="84">
        <v>1</v>
      </c>
      <c r="D65" s="84" t="s">
        <v>327</v>
      </c>
      <c r="E65" s="121">
        <v>4.3</v>
      </c>
      <c r="F65" s="111">
        <v>17697</v>
      </c>
      <c r="G65" s="83">
        <v>1.75</v>
      </c>
      <c r="H65" s="111">
        <f t="shared" si="0"/>
        <v>133169.92499999999</v>
      </c>
      <c r="I65" s="111"/>
      <c r="J65" s="111">
        <f t="shared" si="1"/>
        <v>133169.92499999999</v>
      </c>
      <c r="K65" s="111">
        <f t="shared" si="2"/>
        <v>13316.9925</v>
      </c>
      <c r="L65" s="111"/>
      <c r="M65" s="162"/>
      <c r="N65" s="162"/>
      <c r="O65" s="112"/>
      <c r="P65" s="162"/>
      <c r="Q65" s="112"/>
      <c r="R65" s="112"/>
      <c r="S65" s="112">
        <f>H65*35%</f>
        <v>46609.47374999999</v>
      </c>
      <c r="T65" s="112"/>
      <c r="U65" s="112"/>
      <c r="V65" s="112"/>
      <c r="W65" s="112">
        <f t="shared" si="3"/>
        <v>193096.39124999999</v>
      </c>
      <c r="X65" s="112">
        <f t="shared" si="4"/>
        <v>2317.1566949999997</v>
      </c>
    </row>
    <row r="66" spans="1:24" s="155" customFormat="1">
      <c r="A66" s="84">
        <v>55</v>
      </c>
      <c r="B66" s="150" t="s">
        <v>232</v>
      </c>
      <c r="C66" s="84">
        <v>1</v>
      </c>
      <c r="D66" s="84" t="s">
        <v>329</v>
      </c>
      <c r="E66" s="121">
        <v>4</v>
      </c>
      <c r="F66" s="111">
        <v>17697</v>
      </c>
      <c r="G66" s="83">
        <v>1.75</v>
      </c>
      <c r="H66" s="111">
        <f t="shared" si="0"/>
        <v>123879</v>
      </c>
      <c r="I66" s="111"/>
      <c r="J66" s="111">
        <f t="shared" si="1"/>
        <v>123879</v>
      </c>
      <c r="K66" s="111">
        <f t="shared" si="2"/>
        <v>12387.900000000001</v>
      </c>
      <c r="L66" s="111"/>
      <c r="M66" s="162"/>
      <c r="N66" s="162"/>
      <c r="O66" s="112"/>
      <c r="P66" s="162"/>
      <c r="Q66" s="112"/>
      <c r="R66" s="112"/>
      <c r="S66" s="112"/>
      <c r="T66" s="112"/>
      <c r="U66" s="112"/>
      <c r="V66" s="112"/>
      <c r="W66" s="112">
        <f t="shared" si="3"/>
        <v>136266.9</v>
      </c>
      <c r="X66" s="112">
        <f t="shared" si="4"/>
        <v>1635.2027999999998</v>
      </c>
    </row>
    <row r="67" spans="1:24" s="155" customFormat="1">
      <c r="A67" s="84">
        <v>56</v>
      </c>
      <c r="B67" s="150" t="s">
        <v>232</v>
      </c>
      <c r="C67" s="84">
        <v>1</v>
      </c>
      <c r="D67" s="84" t="s">
        <v>327</v>
      </c>
      <c r="E67" s="121">
        <v>4.2300000000000004</v>
      </c>
      <c r="F67" s="111">
        <v>17697</v>
      </c>
      <c r="G67" s="83">
        <v>1.75</v>
      </c>
      <c r="H67" s="111">
        <f t="shared" si="0"/>
        <v>131002.04250000003</v>
      </c>
      <c r="I67" s="111"/>
      <c r="J67" s="111">
        <f t="shared" si="1"/>
        <v>131002.04250000003</v>
      </c>
      <c r="K67" s="111">
        <f t="shared" si="2"/>
        <v>13100.204250000003</v>
      </c>
      <c r="L67" s="111"/>
      <c r="M67" s="162"/>
      <c r="N67" s="162"/>
      <c r="O67" s="112"/>
      <c r="P67" s="162"/>
      <c r="Q67" s="112"/>
      <c r="R67" s="112"/>
      <c r="S67" s="112">
        <f>H67*35%</f>
        <v>45850.714875000005</v>
      </c>
      <c r="T67" s="112"/>
      <c r="U67" s="112"/>
      <c r="V67" s="112"/>
      <c r="W67" s="112">
        <f t="shared" si="3"/>
        <v>189952.96162500003</v>
      </c>
      <c r="X67" s="112">
        <f t="shared" si="4"/>
        <v>2279.4355395000002</v>
      </c>
    </row>
    <row r="68" spans="1:24" s="155" customFormat="1">
      <c r="A68" s="84">
        <v>57</v>
      </c>
      <c r="B68" s="150" t="s">
        <v>232</v>
      </c>
      <c r="C68" s="84">
        <v>1</v>
      </c>
      <c r="D68" s="84" t="s">
        <v>328</v>
      </c>
      <c r="E68" s="121">
        <v>4.21</v>
      </c>
      <c r="F68" s="111">
        <v>17697</v>
      </c>
      <c r="G68" s="83">
        <v>1.75</v>
      </c>
      <c r="H68" s="111">
        <f t="shared" si="0"/>
        <v>130382.64749999999</v>
      </c>
      <c r="I68" s="111"/>
      <c r="J68" s="111">
        <f t="shared" si="1"/>
        <v>130382.64749999999</v>
      </c>
      <c r="K68" s="111">
        <f t="shared" si="2"/>
        <v>13038.26475</v>
      </c>
      <c r="L68" s="111"/>
      <c r="M68" s="162"/>
      <c r="N68" s="162"/>
      <c r="O68" s="112"/>
      <c r="P68" s="162"/>
      <c r="Q68" s="112"/>
      <c r="R68" s="112"/>
      <c r="S68" s="112"/>
      <c r="T68" s="112"/>
      <c r="U68" s="112"/>
      <c r="V68" s="112"/>
      <c r="W68" s="112">
        <f t="shared" si="3"/>
        <v>143420.91224999999</v>
      </c>
      <c r="X68" s="112">
        <f t="shared" si="4"/>
        <v>1721.050947</v>
      </c>
    </row>
    <row r="69" spans="1:24" s="155" customFormat="1">
      <c r="A69" s="84">
        <v>58</v>
      </c>
      <c r="B69" s="150" t="s">
        <v>232</v>
      </c>
      <c r="C69" s="84">
        <v>1</v>
      </c>
      <c r="D69" s="84" t="s">
        <v>326</v>
      </c>
      <c r="E69" s="121">
        <v>4.49</v>
      </c>
      <c r="F69" s="111">
        <v>17697</v>
      </c>
      <c r="G69" s="83">
        <v>1.75</v>
      </c>
      <c r="H69" s="111">
        <f t="shared" si="0"/>
        <v>139054.17749999999</v>
      </c>
      <c r="I69" s="111"/>
      <c r="J69" s="111">
        <f t="shared" si="1"/>
        <v>139054.17749999999</v>
      </c>
      <c r="K69" s="111">
        <f t="shared" si="2"/>
        <v>13905.417750000001</v>
      </c>
      <c r="L69" s="111"/>
      <c r="M69" s="162"/>
      <c r="N69" s="162"/>
      <c r="O69" s="112"/>
      <c r="P69" s="162"/>
      <c r="Q69" s="112"/>
      <c r="R69" s="112"/>
      <c r="S69" s="112"/>
      <c r="T69" s="112">
        <f>J69*40%</f>
        <v>55621.671000000002</v>
      </c>
      <c r="U69" s="112"/>
      <c r="V69" s="112"/>
      <c r="W69" s="112">
        <f t="shared" si="3"/>
        <v>208581.26624999999</v>
      </c>
      <c r="X69" s="112">
        <f t="shared" si="4"/>
        <v>2502.975195</v>
      </c>
    </row>
    <row r="70" spans="1:24" s="155" customFormat="1">
      <c r="A70" s="84">
        <v>59</v>
      </c>
      <c r="B70" s="150" t="s">
        <v>232</v>
      </c>
      <c r="C70" s="84">
        <v>1</v>
      </c>
      <c r="D70" s="84" t="s">
        <v>327</v>
      </c>
      <c r="E70" s="121">
        <v>4.2300000000000004</v>
      </c>
      <c r="F70" s="111">
        <v>17697</v>
      </c>
      <c r="G70" s="83">
        <v>1.75</v>
      </c>
      <c r="H70" s="111">
        <f t="shared" si="0"/>
        <v>131002.04250000003</v>
      </c>
      <c r="I70" s="111"/>
      <c r="J70" s="111">
        <f t="shared" si="1"/>
        <v>131002.04250000003</v>
      </c>
      <c r="K70" s="111">
        <f t="shared" si="2"/>
        <v>13100.204250000003</v>
      </c>
      <c r="L70" s="111"/>
      <c r="M70" s="162"/>
      <c r="N70" s="162"/>
      <c r="O70" s="112"/>
      <c r="P70" s="162"/>
      <c r="Q70" s="112"/>
      <c r="R70" s="112"/>
      <c r="S70" s="112">
        <f>H70*35%</f>
        <v>45850.714875000005</v>
      </c>
      <c r="T70" s="112"/>
      <c r="U70" s="112"/>
      <c r="V70" s="112"/>
      <c r="W70" s="112">
        <f t="shared" si="3"/>
        <v>189952.96162500003</v>
      </c>
      <c r="X70" s="112">
        <f t="shared" si="4"/>
        <v>2279.4355395000002</v>
      </c>
    </row>
    <row r="71" spans="1:24" s="155" customFormat="1">
      <c r="A71" s="84">
        <v>60</v>
      </c>
      <c r="B71" s="150" t="s">
        <v>232</v>
      </c>
      <c r="C71" s="84">
        <v>1</v>
      </c>
      <c r="D71" s="84" t="s">
        <v>327</v>
      </c>
      <c r="E71" s="121">
        <v>4.16</v>
      </c>
      <c r="F71" s="111">
        <v>17697</v>
      </c>
      <c r="G71" s="83">
        <v>1.75</v>
      </c>
      <c r="H71" s="111">
        <f t="shared" si="0"/>
        <v>128834.16</v>
      </c>
      <c r="I71" s="111"/>
      <c r="J71" s="111">
        <f t="shared" si="1"/>
        <v>128834.16</v>
      </c>
      <c r="K71" s="111">
        <f t="shared" si="2"/>
        <v>12883.416000000001</v>
      </c>
      <c r="L71" s="111"/>
      <c r="M71" s="162"/>
      <c r="N71" s="162"/>
      <c r="O71" s="112"/>
      <c r="P71" s="162"/>
      <c r="Q71" s="112"/>
      <c r="R71" s="112"/>
      <c r="S71" s="112">
        <f>H71*35%</f>
        <v>45091.955999999998</v>
      </c>
      <c r="T71" s="112"/>
      <c r="U71" s="112"/>
      <c r="V71" s="112"/>
      <c r="W71" s="112">
        <f t="shared" si="3"/>
        <v>186809.53200000001</v>
      </c>
      <c r="X71" s="112">
        <f t="shared" si="4"/>
        <v>2241.7143839999999</v>
      </c>
    </row>
    <row r="72" spans="1:24" s="155" customFormat="1">
      <c r="A72" s="84">
        <v>61</v>
      </c>
      <c r="B72" s="150" t="s">
        <v>232</v>
      </c>
      <c r="C72" s="84">
        <v>1</v>
      </c>
      <c r="D72" s="84" t="s">
        <v>327</v>
      </c>
      <c r="E72" s="121">
        <v>4.3</v>
      </c>
      <c r="F72" s="111">
        <v>17697</v>
      </c>
      <c r="G72" s="83">
        <v>1.75</v>
      </c>
      <c r="H72" s="111">
        <f t="shared" si="0"/>
        <v>133169.92499999999</v>
      </c>
      <c r="I72" s="111"/>
      <c r="J72" s="111">
        <f t="shared" si="1"/>
        <v>133169.92499999999</v>
      </c>
      <c r="K72" s="111">
        <f t="shared" si="2"/>
        <v>13316.9925</v>
      </c>
      <c r="L72" s="111"/>
      <c r="M72" s="162"/>
      <c r="N72" s="162"/>
      <c r="O72" s="112"/>
      <c r="P72" s="162"/>
      <c r="Q72" s="112"/>
      <c r="R72" s="112"/>
      <c r="S72" s="112">
        <f>H72*35%</f>
        <v>46609.47374999999</v>
      </c>
      <c r="T72" s="112"/>
      <c r="U72" s="112"/>
      <c r="V72" s="112"/>
      <c r="W72" s="112">
        <f t="shared" si="3"/>
        <v>193096.39124999999</v>
      </c>
      <c r="X72" s="112">
        <f t="shared" si="4"/>
        <v>2317.1566949999997</v>
      </c>
    </row>
    <row r="73" spans="1:24" s="155" customFormat="1">
      <c r="A73" s="84">
        <v>62</v>
      </c>
      <c r="B73" s="150" t="s">
        <v>232</v>
      </c>
      <c r="C73" s="84">
        <v>1</v>
      </c>
      <c r="D73" s="84" t="s">
        <v>327</v>
      </c>
      <c r="E73" s="121">
        <v>4.2300000000000004</v>
      </c>
      <c r="F73" s="111">
        <v>17697</v>
      </c>
      <c r="G73" s="83">
        <v>1.75</v>
      </c>
      <c r="H73" s="111">
        <f t="shared" si="0"/>
        <v>131002.04250000003</v>
      </c>
      <c r="I73" s="111"/>
      <c r="J73" s="111">
        <f t="shared" si="1"/>
        <v>131002.04250000003</v>
      </c>
      <c r="K73" s="111">
        <f t="shared" si="2"/>
        <v>13100.204250000003</v>
      </c>
      <c r="L73" s="111"/>
      <c r="M73" s="162"/>
      <c r="N73" s="162"/>
      <c r="O73" s="112"/>
      <c r="P73" s="162"/>
      <c r="Q73" s="112"/>
      <c r="R73" s="112"/>
      <c r="S73" s="112">
        <f>H73*35%</f>
        <v>45850.714875000005</v>
      </c>
      <c r="T73" s="112"/>
      <c r="U73" s="112"/>
      <c r="V73" s="112"/>
      <c r="W73" s="112">
        <f t="shared" si="3"/>
        <v>189952.96162500003</v>
      </c>
      <c r="X73" s="112">
        <f t="shared" si="4"/>
        <v>2279.4355395000002</v>
      </c>
    </row>
    <row r="74" spans="1:24" s="155" customFormat="1">
      <c r="A74" s="84">
        <v>63</v>
      </c>
      <c r="B74" s="150" t="s">
        <v>232</v>
      </c>
      <c r="C74" s="84">
        <v>1</v>
      </c>
      <c r="D74" s="84" t="s">
        <v>330</v>
      </c>
      <c r="E74" s="123">
        <v>4.28</v>
      </c>
      <c r="F74" s="111">
        <v>17697</v>
      </c>
      <c r="G74" s="83">
        <v>1.75</v>
      </c>
      <c r="H74" s="111">
        <f t="shared" si="0"/>
        <v>132550.53</v>
      </c>
      <c r="I74" s="111"/>
      <c r="J74" s="111">
        <f t="shared" si="1"/>
        <v>132550.53</v>
      </c>
      <c r="K74" s="111">
        <f t="shared" si="2"/>
        <v>13255.053</v>
      </c>
      <c r="L74" s="111"/>
      <c r="M74" s="162"/>
      <c r="N74" s="162"/>
      <c r="O74" s="112"/>
      <c r="P74" s="162"/>
      <c r="Q74" s="112"/>
      <c r="R74" s="112">
        <f>H74*30%</f>
        <v>39765.159</v>
      </c>
      <c r="S74" s="112"/>
      <c r="T74" s="112"/>
      <c r="U74" s="112"/>
      <c r="V74" s="112"/>
      <c r="W74" s="112">
        <f t="shared" si="3"/>
        <v>185570.74199999997</v>
      </c>
      <c r="X74" s="112">
        <f t="shared" si="4"/>
        <v>2226.8489039999995</v>
      </c>
    </row>
    <row r="75" spans="1:24" s="155" customFormat="1">
      <c r="A75" s="84">
        <v>64</v>
      </c>
      <c r="B75" s="150" t="s">
        <v>260</v>
      </c>
      <c r="C75" s="84">
        <v>1</v>
      </c>
      <c r="D75" s="84" t="s">
        <v>14</v>
      </c>
      <c r="E75" s="121">
        <v>3.25</v>
      </c>
      <c r="F75" s="111">
        <v>17697</v>
      </c>
      <c r="G75" s="83">
        <v>1.23</v>
      </c>
      <c r="H75" s="111">
        <f t="shared" si="0"/>
        <v>70743.757499999992</v>
      </c>
      <c r="I75" s="111"/>
      <c r="J75" s="111">
        <f t="shared" si="1"/>
        <v>70743.757499999992</v>
      </c>
      <c r="K75" s="111">
        <f t="shared" si="2"/>
        <v>7074.3757499999992</v>
      </c>
      <c r="L75" s="111"/>
      <c r="M75" s="162"/>
      <c r="N75" s="162"/>
      <c r="O75" s="112">
        <f>J75/20.42/2</f>
        <v>1732.2173726738488</v>
      </c>
      <c r="P75" s="112">
        <f>J75/20.42/8*243.33/2/4</f>
        <v>13171.889165397739</v>
      </c>
      <c r="Q75" s="112"/>
      <c r="R75" s="112"/>
      <c r="S75" s="112"/>
      <c r="T75" s="112"/>
      <c r="U75" s="112"/>
      <c r="V75" s="112"/>
      <c r="W75" s="112">
        <f t="shared" si="3"/>
        <v>92722.239788071573</v>
      </c>
      <c r="X75" s="112">
        <f t="shared" si="4"/>
        <v>1112.6668774568589</v>
      </c>
    </row>
    <row r="76" spans="1:24" s="155" customFormat="1">
      <c r="A76" s="84">
        <v>65</v>
      </c>
      <c r="B76" s="150" t="s">
        <v>260</v>
      </c>
      <c r="C76" s="84">
        <v>1</v>
      </c>
      <c r="D76" s="84" t="s">
        <v>14</v>
      </c>
      <c r="E76" s="121">
        <v>3.25</v>
      </c>
      <c r="F76" s="111">
        <v>17697</v>
      </c>
      <c r="G76" s="83">
        <v>1.23</v>
      </c>
      <c r="H76" s="111">
        <f t="shared" ref="H76:H130" si="5">(E76*17697*C76)*G76</f>
        <v>70743.757499999992</v>
      </c>
      <c r="I76" s="111"/>
      <c r="J76" s="111">
        <f t="shared" si="1"/>
        <v>70743.757499999992</v>
      </c>
      <c r="K76" s="111">
        <f t="shared" si="2"/>
        <v>7074.3757499999992</v>
      </c>
      <c r="L76" s="111"/>
      <c r="M76" s="162"/>
      <c r="N76" s="162"/>
      <c r="O76" s="112">
        <f t="shared" ref="O76:O86" si="6">J76/20.42/2</f>
        <v>1732.2173726738488</v>
      </c>
      <c r="P76" s="112">
        <f t="shared" ref="P76:P86" si="7">J76/20.42/8*243.33/2/4</f>
        <v>13171.889165397739</v>
      </c>
      <c r="Q76" s="112"/>
      <c r="R76" s="112"/>
      <c r="S76" s="112"/>
      <c r="T76" s="112"/>
      <c r="U76" s="112"/>
      <c r="V76" s="112"/>
      <c r="W76" s="112">
        <f t="shared" si="3"/>
        <v>92722.239788071573</v>
      </c>
      <c r="X76" s="112">
        <f t="shared" si="4"/>
        <v>1112.6668774568589</v>
      </c>
    </row>
    <row r="77" spans="1:24" s="155" customFormat="1">
      <c r="A77" s="84">
        <v>66</v>
      </c>
      <c r="B77" s="150" t="s">
        <v>260</v>
      </c>
      <c r="C77" s="84">
        <v>1</v>
      </c>
      <c r="D77" s="84" t="s">
        <v>14</v>
      </c>
      <c r="E77" s="121">
        <v>3.22</v>
      </c>
      <c r="F77" s="111">
        <v>17697</v>
      </c>
      <c r="G77" s="83">
        <v>1.23</v>
      </c>
      <c r="H77" s="111">
        <f t="shared" si="5"/>
        <v>70090.738200000007</v>
      </c>
      <c r="I77" s="111"/>
      <c r="J77" s="111">
        <f t="shared" ref="J77:J130" si="8">H77+I77</f>
        <v>70090.738200000007</v>
      </c>
      <c r="K77" s="111">
        <f t="shared" ref="K77:K130" si="9">J77*10%</f>
        <v>7009.0738200000014</v>
      </c>
      <c r="L77" s="111"/>
      <c r="M77" s="162"/>
      <c r="N77" s="162"/>
      <c r="O77" s="112">
        <f t="shared" si="6"/>
        <v>1716.2276738491676</v>
      </c>
      <c r="P77" s="112">
        <f t="shared" si="7"/>
        <v>13050.302496178687</v>
      </c>
      <c r="Q77" s="112"/>
      <c r="R77" s="112"/>
      <c r="S77" s="112"/>
      <c r="T77" s="112"/>
      <c r="U77" s="112"/>
      <c r="V77" s="112"/>
      <c r="W77" s="112">
        <f t="shared" ref="W77:W130" si="10">SUM(J77:V77)</f>
        <v>91866.342190027863</v>
      </c>
      <c r="X77" s="112">
        <f t="shared" ref="X77:X132" si="11">W77*12/1000</f>
        <v>1102.3961062803344</v>
      </c>
    </row>
    <row r="78" spans="1:24" s="155" customFormat="1">
      <c r="A78" s="84">
        <v>67</v>
      </c>
      <c r="B78" s="150" t="s">
        <v>260</v>
      </c>
      <c r="C78" s="84">
        <v>1</v>
      </c>
      <c r="D78" s="84" t="s">
        <v>14</v>
      </c>
      <c r="E78" s="121">
        <v>3.22</v>
      </c>
      <c r="F78" s="111">
        <v>17697</v>
      </c>
      <c r="G78" s="83">
        <v>1.23</v>
      </c>
      <c r="H78" s="111">
        <f t="shared" si="5"/>
        <v>70090.738200000007</v>
      </c>
      <c r="I78" s="111"/>
      <c r="J78" s="111">
        <f t="shared" si="8"/>
        <v>70090.738200000007</v>
      </c>
      <c r="K78" s="111">
        <f t="shared" si="9"/>
        <v>7009.0738200000014</v>
      </c>
      <c r="L78" s="111"/>
      <c r="M78" s="162"/>
      <c r="N78" s="162"/>
      <c r="O78" s="112">
        <f t="shared" si="6"/>
        <v>1716.2276738491676</v>
      </c>
      <c r="P78" s="112">
        <f t="shared" si="7"/>
        <v>13050.302496178687</v>
      </c>
      <c r="Q78" s="112"/>
      <c r="R78" s="112"/>
      <c r="S78" s="112"/>
      <c r="T78" s="112"/>
      <c r="U78" s="112"/>
      <c r="V78" s="112"/>
      <c r="W78" s="112">
        <f t="shared" si="10"/>
        <v>91866.342190027863</v>
      </c>
      <c r="X78" s="112">
        <f t="shared" si="11"/>
        <v>1102.3961062803344</v>
      </c>
    </row>
    <row r="79" spans="1:24" s="155" customFormat="1">
      <c r="A79" s="84">
        <v>68</v>
      </c>
      <c r="B79" s="150" t="s">
        <v>260</v>
      </c>
      <c r="C79" s="84">
        <v>1</v>
      </c>
      <c r="D79" s="84" t="s">
        <v>14</v>
      </c>
      <c r="E79" s="121">
        <v>3.19</v>
      </c>
      <c r="F79" s="111">
        <v>17697</v>
      </c>
      <c r="G79" s="83">
        <v>1.23</v>
      </c>
      <c r="H79" s="111">
        <f t="shared" si="5"/>
        <v>69437.718899999993</v>
      </c>
      <c r="I79" s="111"/>
      <c r="J79" s="111">
        <f t="shared" si="8"/>
        <v>69437.718899999993</v>
      </c>
      <c r="K79" s="111">
        <f t="shared" si="9"/>
        <v>6943.77189</v>
      </c>
      <c r="L79" s="111"/>
      <c r="M79" s="162"/>
      <c r="N79" s="162"/>
      <c r="O79" s="112">
        <f t="shared" si="6"/>
        <v>1700.2379750244854</v>
      </c>
      <c r="P79" s="112">
        <f t="shared" si="7"/>
        <v>12928.715826959628</v>
      </c>
      <c r="Q79" s="112"/>
      <c r="R79" s="112"/>
      <c r="S79" s="112"/>
      <c r="T79" s="112"/>
      <c r="U79" s="112"/>
      <c r="V79" s="112"/>
      <c r="W79" s="112">
        <f t="shared" si="10"/>
        <v>91010.444591984109</v>
      </c>
      <c r="X79" s="112">
        <f t="shared" si="11"/>
        <v>1092.1253351038094</v>
      </c>
    </row>
    <row r="80" spans="1:24" s="155" customFormat="1">
      <c r="A80" s="84">
        <v>69</v>
      </c>
      <c r="B80" s="150" t="s">
        <v>260</v>
      </c>
      <c r="C80" s="84">
        <v>1</v>
      </c>
      <c r="D80" s="84" t="s">
        <v>14</v>
      </c>
      <c r="E80" s="121">
        <v>3.22</v>
      </c>
      <c r="F80" s="111">
        <v>17697</v>
      </c>
      <c r="G80" s="83">
        <v>1.23</v>
      </c>
      <c r="H80" s="111">
        <f t="shared" si="5"/>
        <v>70090.738200000007</v>
      </c>
      <c r="I80" s="111"/>
      <c r="J80" s="111">
        <f t="shared" si="8"/>
        <v>70090.738200000007</v>
      </c>
      <c r="K80" s="111">
        <f t="shared" si="9"/>
        <v>7009.0738200000014</v>
      </c>
      <c r="L80" s="111"/>
      <c r="M80" s="162"/>
      <c r="N80" s="162"/>
      <c r="O80" s="112">
        <f t="shared" si="6"/>
        <v>1716.2276738491676</v>
      </c>
      <c r="P80" s="112">
        <f t="shared" si="7"/>
        <v>13050.302496178687</v>
      </c>
      <c r="Q80" s="112"/>
      <c r="R80" s="112"/>
      <c r="S80" s="112"/>
      <c r="T80" s="112"/>
      <c r="U80" s="112"/>
      <c r="V80" s="112"/>
      <c r="W80" s="112">
        <f t="shared" si="10"/>
        <v>91866.342190027863</v>
      </c>
      <c r="X80" s="112">
        <f t="shared" si="11"/>
        <v>1102.3961062803344</v>
      </c>
    </row>
    <row r="81" spans="1:24" s="155" customFormat="1">
      <c r="A81" s="84">
        <v>70</v>
      </c>
      <c r="B81" s="150" t="s">
        <v>260</v>
      </c>
      <c r="C81" s="84">
        <v>1</v>
      </c>
      <c r="D81" s="84" t="s">
        <v>14</v>
      </c>
      <c r="E81" s="121">
        <v>3.19</v>
      </c>
      <c r="F81" s="111">
        <v>17697</v>
      </c>
      <c r="G81" s="83">
        <v>1.23</v>
      </c>
      <c r="H81" s="111">
        <f t="shared" si="5"/>
        <v>69437.718899999993</v>
      </c>
      <c r="I81" s="111"/>
      <c r="J81" s="111">
        <f t="shared" si="8"/>
        <v>69437.718899999993</v>
      </c>
      <c r="K81" s="111">
        <f t="shared" si="9"/>
        <v>6943.77189</v>
      </c>
      <c r="L81" s="111"/>
      <c r="M81" s="162"/>
      <c r="N81" s="162"/>
      <c r="O81" s="112">
        <f t="shared" si="6"/>
        <v>1700.2379750244854</v>
      </c>
      <c r="P81" s="112">
        <f t="shared" si="7"/>
        <v>12928.715826959628</v>
      </c>
      <c r="Q81" s="112"/>
      <c r="R81" s="112"/>
      <c r="S81" s="112"/>
      <c r="T81" s="112"/>
      <c r="U81" s="112"/>
      <c r="V81" s="112"/>
      <c r="W81" s="112">
        <f t="shared" si="10"/>
        <v>91010.444591984109</v>
      </c>
      <c r="X81" s="112">
        <f t="shared" si="11"/>
        <v>1092.1253351038094</v>
      </c>
    </row>
    <row r="82" spans="1:24" s="155" customFormat="1">
      <c r="A82" s="84">
        <v>71</v>
      </c>
      <c r="B82" s="150" t="s">
        <v>260</v>
      </c>
      <c r="C82" s="84">
        <v>1</v>
      </c>
      <c r="D82" s="84" t="s">
        <v>14</v>
      </c>
      <c r="E82" s="121">
        <v>3.19</v>
      </c>
      <c r="F82" s="111">
        <v>17697</v>
      </c>
      <c r="G82" s="83">
        <v>1.23</v>
      </c>
      <c r="H82" s="111">
        <f t="shared" si="5"/>
        <v>69437.718899999993</v>
      </c>
      <c r="I82" s="111"/>
      <c r="J82" s="111">
        <f t="shared" si="8"/>
        <v>69437.718899999993</v>
      </c>
      <c r="K82" s="111">
        <f t="shared" si="9"/>
        <v>6943.77189</v>
      </c>
      <c r="L82" s="111"/>
      <c r="M82" s="162"/>
      <c r="N82" s="162"/>
      <c r="O82" s="112">
        <f t="shared" si="6"/>
        <v>1700.2379750244854</v>
      </c>
      <c r="P82" s="112">
        <f t="shared" si="7"/>
        <v>12928.715826959628</v>
      </c>
      <c r="Q82" s="112"/>
      <c r="R82" s="112"/>
      <c r="S82" s="112"/>
      <c r="T82" s="112"/>
      <c r="U82" s="112"/>
      <c r="V82" s="112"/>
      <c r="W82" s="112">
        <f t="shared" si="10"/>
        <v>91010.444591984109</v>
      </c>
      <c r="X82" s="112">
        <f t="shared" si="11"/>
        <v>1092.1253351038094</v>
      </c>
    </row>
    <row r="83" spans="1:24" s="155" customFormat="1">
      <c r="A83" s="84">
        <v>72</v>
      </c>
      <c r="B83" s="150" t="s">
        <v>260</v>
      </c>
      <c r="C83" s="84">
        <v>1</v>
      </c>
      <c r="D83" s="84" t="s">
        <v>14</v>
      </c>
      <c r="E83" s="121">
        <v>3.16</v>
      </c>
      <c r="F83" s="111">
        <v>17697</v>
      </c>
      <c r="G83" s="83">
        <v>1.23</v>
      </c>
      <c r="H83" s="111">
        <f t="shared" si="5"/>
        <v>68784.699600000007</v>
      </c>
      <c r="I83" s="111"/>
      <c r="J83" s="111">
        <f t="shared" si="8"/>
        <v>68784.699600000007</v>
      </c>
      <c r="K83" s="111">
        <f t="shared" si="9"/>
        <v>6878.4699600000013</v>
      </c>
      <c r="L83" s="111"/>
      <c r="M83" s="162"/>
      <c r="N83" s="162"/>
      <c r="O83" s="112">
        <f t="shared" si="6"/>
        <v>1684.2482761998042</v>
      </c>
      <c r="P83" s="112">
        <f t="shared" si="7"/>
        <v>12807.129157740574</v>
      </c>
      <c r="Q83" s="112"/>
      <c r="R83" s="112"/>
      <c r="S83" s="112"/>
      <c r="T83" s="112"/>
      <c r="U83" s="112"/>
      <c r="V83" s="112"/>
      <c r="W83" s="112">
        <f t="shared" si="10"/>
        <v>90154.546993940399</v>
      </c>
      <c r="X83" s="112">
        <f t="shared" si="11"/>
        <v>1081.854563927285</v>
      </c>
    </row>
    <row r="84" spans="1:24" s="155" customFormat="1">
      <c r="A84" s="84">
        <v>73</v>
      </c>
      <c r="B84" s="150" t="s">
        <v>260</v>
      </c>
      <c r="C84" s="84">
        <v>1</v>
      </c>
      <c r="D84" s="84" t="s">
        <v>14</v>
      </c>
      <c r="E84" s="121">
        <v>3.29</v>
      </c>
      <c r="F84" s="111">
        <v>17697</v>
      </c>
      <c r="G84" s="83">
        <v>1.23</v>
      </c>
      <c r="H84" s="111">
        <f t="shared" si="5"/>
        <v>71614.449899999992</v>
      </c>
      <c r="I84" s="111"/>
      <c r="J84" s="111">
        <f t="shared" si="8"/>
        <v>71614.449899999992</v>
      </c>
      <c r="K84" s="111">
        <f t="shared" si="9"/>
        <v>7161.44499</v>
      </c>
      <c r="L84" s="111"/>
      <c r="M84" s="162"/>
      <c r="N84" s="162"/>
      <c r="O84" s="112">
        <f t="shared" si="6"/>
        <v>1753.5369711067578</v>
      </c>
      <c r="P84" s="112">
        <f t="shared" si="7"/>
        <v>13334.004724356482</v>
      </c>
      <c r="Q84" s="112"/>
      <c r="R84" s="112"/>
      <c r="S84" s="112"/>
      <c r="T84" s="112"/>
      <c r="U84" s="112"/>
      <c r="V84" s="112"/>
      <c r="W84" s="112">
        <f t="shared" si="10"/>
        <v>93863.436585463234</v>
      </c>
      <c r="X84" s="112">
        <f t="shared" si="11"/>
        <v>1126.3612390255589</v>
      </c>
    </row>
    <row r="85" spans="1:24" s="155" customFormat="1">
      <c r="A85" s="84">
        <v>74</v>
      </c>
      <c r="B85" s="150" t="s">
        <v>260</v>
      </c>
      <c r="C85" s="84">
        <v>1</v>
      </c>
      <c r="D85" s="84" t="s">
        <v>14</v>
      </c>
      <c r="E85" s="121">
        <v>3.12</v>
      </c>
      <c r="F85" s="111">
        <v>17697</v>
      </c>
      <c r="G85" s="83">
        <v>1.23</v>
      </c>
      <c r="H85" s="111">
        <f t="shared" si="5"/>
        <v>67914.007199999993</v>
      </c>
      <c r="I85" s="111"/>
      <c r="J85" s="111">
        <f t="shared" si="8"/>
        <v>67914.007199999993</v>
      </c>
      <c r="K85" s="111">
        <f t="shared" si="9"/>
        <v>6791.4007199999996</v>
      </c>
      <c r="L85" s="111"/>
      <c r="M85" s="162"/>
      <c r="N85" s="162"/>
      <c r="O85" s="112">
        <f t="shared" si="6"/>
        <v>1662.9286777668949</v>
      </c>
      <c r="P85" s="112">
        <f t="shared" si="7"/>
        <v>12645.01359878183</v>
      </c>
      <c r="Q85" s="112"/>
      <c r="R85" s="112"/>
      <c r="S85" s="112"/>
      <c r="T85" s="112"/>
      <c r="U85" s="112"/>
      <c r="V85" s="112"/>
      <c r="W85" s="112">
        <f t="shared" si="10"/>
        <v>89013.350196548723</v>
      </c>
      <c r="X85" s="112">
        <f t="shared" si="11"/>
        <v>1068.1602023585847</v>
      </c>
    </row>
    <row r="86" spans="1:24" s="155" customFormat="1">
      <c r="A86" s="84">
        <v>75</v>
      </c>
      <c r="B86" s="150" t="s">
        <v>260</v>
      </c>
      <c r="C86" s="84">
        <v>1</v>
      </c>
      <c r="D86" s="84" t="s">
        <v>14</v>
      </c>
      <c r="E86" s="121">
        <v>3.29</v>
      </c>
      <c r="F86" s="111">
        <v>17697</v>
      </c>
      <c r="G86" s="83">
        <v>1.23</v>
      </c>
      <c r="H86" s="111">
        <f t="shared" si="5"/>
        <v>71614.449899999992</v>
      </c>
      <c r="I86" s="111"/>
      <c r="J86" s="111">
        <f t="shared" si="8"/>
        <v>71614.449899999992</v>
      </c>
      <c r="K86" s="111">
        <f t="shared" si="9"/>
        <v>7161.44499</v>
      </c>
      <c r="L86" s="111"/>
      <c r="M86" s="162"/>
      <c r="N86" s="162"/>
      <c r="O86" s="112">
        <f t="shared" si="6"/>
        <v>1753.5369711067578</v>
      </c>
      <c r="P86" s="112">
        <f t="shared" si="7"/>
        <v>13334.004724356482</v>
      </c>
      <c r="Q86" s="112"/>
      <c r="R86" s="112"/>
      <c r="S86" s="112"/>
      <c r="T86" s="112"/>
      <c r="U86" s="112"/>
      <c r="V86" s="112"/>
      <c r="W86" s="112">
        <f t="shared" si="10"/>
        <v>93863.436585463234</v>
      </c>
      <c r="X86" s="112">
        <f t="shared" si="11"/>
        <v>1126.3612390255589</v>
      </c>
    </row>
    <row r="87" spans="1:24" s="155" customFormat="1">
      <c r="A87" s="84">
        <v>76</v>
      </c>
      <c r="B87" s="150" t="s">
        <v>7</v>
      </c>
      <c r="C87" s="84">
        <v>1</v>
      </c>
      <c r="D87" s="84" t="s">
        <v>14</v>
      </c>
      <c r="E87" s="121">
        <v>3.16</v>
      </c>
      <c r="F87" s="111">
        <v>17697</v>
      </c>
      <c r="G87" s="83">
        <v>1.23</v>
      </c>
      <c r="H87" s="111">
        <f t="shared" si="5"/>
        <v>68784.699600000007</v>
      </c>
      <c r="I87" s="111"/>
      <c r="J87" s="111">
        <f t="shared" si="8"/>
        <v>68784.699600000007</v>
      </c>
      <c r="K87" s="111">
        <f t="shared" si="9"/>
        <v>6878.4699600000013</v>
      </c>
      <c r="L87" s="111"/>
      <c r="M87" s="162"/>
      <c r="N87" s="162"/>
      <c r="O87" s="112"/>
      <c r="P87" s="162"/>
      <c r="Q87" s="112"/>
      <c r="R87" s="112"/>
      <c r="S87" s="112"/>
      <c r="T87" s="112"/>
      <c r="U87" s="112"/>
      <c r="V87" s="112"/>
      <c r="W87" s="112">
        <f t="shared" si="10"/>
        <v>75663.169560000009</v>
      </c>
      <c r="X87" s="112">
        <f t="shared" si="11"/>
        <v>907.95803472000011</v>
      </c>
    </row>
    <row r="88" spans="1:24" s="155" customFormat="1">
      <c r="A88" s="84">
        <v>77</v>
      </c>
      <c r="B88" s="150" t="s">
        <v>273</v>
      </c>
      <c r="C88" s="84">
        <v>0.5</v>
      </c>
      <c r="D88" s="84" t="s">
        <v>14</v>
      </c>
      <c r="E88" s="121">
        <v>3.16</v>
      </c>
      <c r="F88" s="111">
        <v>17697</v>
      </c>
      <c r="G88" s="83">
        <v>1.23</v>
      </c>
      <c r="H88" s="111">
        <f t="shared" si="5"/>
        <v>34392.349800000004</v>
      </c>
      <c r="I88" s="111"/>
      <c r="J88" s="111">
        <f t="shared" si="8"/>
        <v>34392.349800000004</v>
      </c>
      <c r="K88" s="111">
        <f t="shared" si="9"/>
        <v>3439.2349800000006</v>
      </c>
      <c r="L88" s="111"/>
      <c r="M88" s="112">
        <f>SUM(C88*F88*0.2)</f>
        <v>1769.7</v>
      </c>
      <c r="N88" s="162"/>
      <c r="O88" s="112"/>
      <c r="P88" s="162"/>
      <c r="Q88" s="112"/>
      <c r="R88" s="112"/>
      <c r="S88" s="112"/>
      <c r="T88" s="112"/>
      <c r="U88" s="112"/>
      <c r="V88" s="112"/>
      <c r="W88" s="112">
        <f t="shared" si="10"/>
        <v>39601.284780000002</v>
      </c>
      <c r="X88" s="112">
        <f t="shared" si="11"/>
        <v>475.21541736</v>
      </c>
    </row>
    <row r="89" spans="1:24" s="155" customFormat="1" ht="22.5" customHeight="1">
      <c r="A89" s="84">
        <v>78</v>
      </c>
      <c r="B89" s="150" t="s">
        <v>273</v>
      </c>
      <c r="C89" s="84">
        <v>0.5</v>
      </c>
      <c r="D89" s="84" t="s">
        <v>14</v>
      </c>
      <c r="E89" s="121">
        <v>2.94</v>
      </c>
      <c r="F89" s="111">
        <v>17697</v>
      </c>
      <c r="G89" s="83">
        <v>1.23</v>
      </c>
      <c r="H89" s="111">
        <f t="shared" si="5"/>
        <v>31997.9457</v>
      </c>
      <c r="I89" s="111"/>
      <c r="J89" s="111">
        <f t="shared" si="8"/>
        <v>31997.9457</v>
      </c>
      <c r="K89" s="111">
        <f t="shared" si="9"/>
        <v>3199.79457</v>
      </c>
      <c r="L89" s="111"/>
      <c r="M89" s="112">
        <f>SUM(C89*F89*0.2)</f>
        <v>1769.7</v>
      </c>
      <c r="N89" s="162"/>
      <c r="O89" s="112"/>
      <c r="P89" s="162"/>
      <c r="Q89" s="112"/>
      <c r="R89" s="112"/>
      <c r="S89" s="112"/>
      <c r="T89" s="112"/>
      <c r="U89" s="112"/>
      <c r="V89" s="112"/>
      <c r="W89" s="112">
        <f t="shared" si="10"/>
        <v>36967.440269999999</v>
      </c>
      <c r="X89" s="112">
        <f t="shared" si="11"/>
        <v>443.60928324000002</v>
      </c>
    </row>
    <row r="90" spans="1:24" s="155" customFormat="1">
      <c r="A90" s="84">
        <v>79</v>
      </c>
      <c r="B90" s="150" t="s">
        <v>276</v>
      </c>
      <c r="C90" s="84">
        <v>1</v>
      </c>
      <c r="D90" s="84" t="s">
        <v>14</v>
      </c>
      <c r="E90" s="121">
        <v>2.94</v>
      </c>
      <c r="F90" s="111">
        <v>17697</v>
      </c>
      <c r="G90" s="83">
        <v>1.23</v>
      </c>
      <c r="H90" s="111">
        <f t="shared" si="5"/>
        <v>63995.8914</v>
      </c>
      <c r="I90" s="111"/>
      <c r="J90" s="111">
        <f t="shared" si="8"/>
        <v>63995.8914</v>
      </c>
      <c r="K90" s="111">
        <f t="shared" si="9"/>
        <v>6399.58914</v>
      </c>
      <c r="L90" s="111"/>
      <c r="M90" s="162"/>
      <c r="N90" s="162"/>
      <c r="O90" s="112"/>
      <c r="P90" s="162"/>
      <c r="Q90" s="112"/>
      <c r="R90" s="112"/>
      <c r="S90" s="112"/>
      <c r="T90" s="112"/>
      <c r="U90" s="112"/>
      <c r="V90" s="112"/>
      <c r="W90" s="112">
        <f t="shared" si="10"/>
        <v>70395.480540000004</v>
      </c>
      <c r="X90" s="112">
        <f t="shared" si="11"/>
        <v>844.74576648000004</v>
      </c>
    </row>
    <row r="91" spans="1:24" s="155" customFormat="1">
      <c r="A91" s="84">
        <v>80</v>
      </c>
      <c r="B91" s="150" t="s">
        <v>317</v>
      </c>
      <c r="C91" s="84">
        <v>1</v>
      </c>
      <c r="D91" s="84" t="s">
        <v>14</v>
      </c>
      <c r="E91" s="121">
        <v>2.94</v>
      </c>
      <c r="F91" s="111">
        <v>17697</v>
      </c>
      <c r="G91" s="83">
        <v>1.23</v>
      </c>
      <c r="H91" s="111">
        <f t="shared" si="5"/>
        <v>63995.8914</v>
      </c>
      <c r="I91" s="111"/>
      <c r="J91" s="111">
        <f>H91+I91</f>
        <v>63995.8914</v>
      </c>
      <c r="K91" s="111">
        <f>J91*10%</f>
        <v>6399.58914</v>
      </c>
      <c r="L91" s="111"/>
      <c r="M91" s="162"/>
      <c r="N91" s="162"/>
      <c r="O91" s="112"/>
      <c r="P91" s="162"/>
      <c r="Q91" s="112"/>
      <c r="R91" s="112"/>
      <c r="S91" s="112"/>
      <c r="T91" s="112"/>
      <c r="U91" s="112"/>
      <c r="V91" s="112"/>
      <c r="W91" s="112">
        <f t="shared" si="10"/>
        <v>70395.480540000004</v>
      </c>
      <c r="X91" s="112">
        <f t="shared" si="11"/>
        <v>844.74576648000004</v>
      </c>
    </row>
    <row r="92" spans="1:24" s="155" customFormat="1">
      <c r="A92" s="84">
        <v>81</v>
      </c>
      <c r="B92" s="150" t="s">
        <v>278</v>
      </c>
      <c r="C92" s="110">
        <v>1</v>
      </c>
      <c r="D92" s="110">
        <v>5</v>
      </c>
      <c r="E92" s="166">
        <v>2.92</v>
      </c>
      <c r="F92" s="111">
        <v>17697</v>
      </c>
      <c r="G92" s="222">
        <v>1.23</v>
      </c>
      <c r="H92" s="111">
        <f t="shared" si="5"/>
        <v>63560.545199999993</v>
      </c>
      <c r="I92" s="111"/>
      <c r="J92" s="111">
        <f t="shared" si="8"/>
        <v>63560.545199999993</v>
      </c>
      <c r="K92" s="111">
        <f t="shared" si="9"/>
        <v>6356.0545199999997</v>
      </c>
      <c r="L92" s="111"/>
      <c r="M92" s="112">
        <f>17697*30%</f>
        <v>5309.0999999999995</v>
      </c>
      <c r="N92" s="162"/>
      <c r="O92" s="112"/>
      <c r="P92" s="162"/>
      <c r="Q92" s="112"/>
      <c r="R92" s="112"/>
      <c r="S92" s="112"/>
      <c r="T92" s="112"/>
      <c r="U92" s="112"/>
      <c r="V92" s="112"/>
      <c r="W92" s="112">
        <f t="shared" si="10"/>
        <v>75225.699720000004</v>
      </c>
      <c r="X92" s="112">
        <f t="shared" si="11"/>
        <v>902.70839664000005</v>
      </c>
    </row>
    <row r="93" spans="1:24" s="155" customFormat="1">
      <c r="A93" s="84">
        <v>82</v>
      </c>
      <c r="B93" s="150" t="s">
        <v>280</v>
      </c>
      <c r="C93" s="84">
        <v>1</v>
      </c>
      <c r="D93" s="84">
        <v>5</v>
      </c>
      <c r="E93" s="121">
        <v>2.92</v>
      </c>
      <c r="F93" s="111">
        <v>17697</v>
      </c>
      <c r="G93" s="83">
        <v>1.23</v>
      </c>
      <c r="H93" s="111">
        <f t="shared" si="5"/>
        <v>63560.545199999993</v>
      </c>
      <c r="I93" s="111"/>
      <c r="J93" s="111">
        <f t="shared" si="8"/>
        <v>63560.545199999993</v>
      </c>
      <c r="K93" s="111">
        <f t="shared" si="9"/>
        <v>6356.0545199999997</v>
      </c>
      <c r="L93" s="111"/>
      <c r="M93" s="162"/>
      <c r="N93" s="162"/>
      <c r="O93" s="112"/>
      <c r="P93" s="162"/>
      <c r="Q93" s="112"/>
      <c r="R93" s="112"/>
      <c r="S93" s="112"/>
      <c r="T93" s="112"/>
      <c r="U93" s="112"/>
      <c r="V93" s="112"/>
      <c r="W93" s="112">
        <f t="shared" si="10"/>
        <v>69916.599719999998</v>
      </c>
      <c r="X93" s="112">
        <f t="shared" si="11"/>
        <v>838.99919664000004</v>
      </c>
    </row>
    <row r="94" spans="1:24" s="155" customFormat="1">
      <c r="A94" s="84">
        <v>83</v>
      </c>
      <c r="B94" s="150" t="s">
        <v>282</v>
      </c>
      <c r="C94" s="84">
        <v>1</v>
      </c>
      <c r="D94" s="84">
        <v>2</v>
      </c>
      <c r="E94" s="121">
        <v>2.81</v>
      </c>
      <c r="F94" s="111">
        <v>17697</v>
      </c>
      <c r="G94" s="83">
        <v>1.23</v>
      </c>
      <c r="H94" s="111">
        <f t="shared" si="5"/>
        <v>61166.141100000001</v>
      </c>
      <c r="I94" s="111"/>
      <c r="J94" s="111">
        <f t="shared" si="8"/>
        <v>61166.141100000001</v>
      </c>
      <c r="K94" s="111">
        <f t="shared" si="9"/>
        <v>6116.6141100000004</v>
      </c>
      <c r="L94" s="111"/>
      <c r="M94" s="162"/>
      <c r="N94" s="162"/>
      <c r="O94" s="112"/>
      <c r="P94" s="162"/>
      <c r="Q94" s="112"/>
      <c r="R94" s="112"/>
      <c r="S94" s="112"/>
      <c r="T94" s="112"/>
      <c r="U94" s="112"/>
      <c r="V94" s="112"/>
      <c r="W94" s="112">
        <f t="shared" si="10"/>
        <v>67282.755210000003</v>
      </c>
      <c r="X94" s="112">
        <f t="shared" si="11"/>
        <v>807.39306252000006</v>
      </c>
    </row>
    <row r="95" spans="1:24" s="155" customFormat="1">
      <c r="A95" s="84">
        <v>84</v>
      </c>
      <c r="B95" s="150" t="s">
        <v>8</v>
      </c>
      <c r="C95" s="84">
        <v>1</v>
      </c>
      <c r="D95" s="84">
        <v>5</v>
      </c>
      <c r="E95" s="121">
        <v>2.92</v>
      </c>
      <c r="F95" s="111">
        <v>17697</v>
      </c>
      <c r="G95" s="83">
        <v>1.23</v>
      </c>
      <c r="H95" s="111">
        <f t="shared" si="5"/>
        <v>63560.545199999993</v>
      </c>
      <c r="I95" s="111"/>
      <c r="J95" s="111">
        <f t="shared" si="8"/>
        <v>63560.545199999993</v>
      </c>
      <c r="K95" s="111">
        <f t="shared" si="9"/>
        <v>6356.0545199999997</v>
      </c>
      <c r="L95" s="111"/>
      <c r="M95" s="162"/>
      <c r="N95" s="162"/>
      <c r="O95" s="112"/>
      <c r="P95" s="162"/>
      <c r="Q95" s="112"/>
      <c r="R95" s="112"/>
      <c r="S95" s="112"/>
      <c r="T95" s="112"/>
      <c r="U95" s="112"/>
      <c r="V95" s="112"/>
      <c r="W95" s="112">
        <f t="shared" si="10"/>
        <v>69916.599719999998</v>
      </c>
      <c r="X95" s="112">
        <f t="shared" si="11"/>
        <v>838.99919664000004</v>
      </c>
    </row>
    <row r="96" spans="1:24" s="155" customFormat="1" ht="25.5">
      <c r="A96" s="84">
        <v>85</v>
      </c>
      <c r="B96" s="150" t="s">
        <v>283</v>
      </c>
      <c r="C96" s="84">
        <v>1.5</v>
      </c>
      <c r="D96" s="84">
        <v>2</v>
      </c>
      <c r="E96" s="121">
        <v>2.81</v>
      </c>
      <c r="F96" s="111">
        <v>17697</v>
      </c>
      <c r="G96" s="83">
        <v>1.23</v>
      </c>
      <c r="H96" s="111">
        <f t="shared" si="5"/>
        <v>91749.211649999997</v>
      </c>
      <c r="I96" s="111"/>
      <c r="J96" s="111">
        <f t="shared" si="8"/>
        <v>91749.211649999997</v>
      </c>
      <c r="K96" s="111">
        <f t="shared" si="9"/>
        <v>9174.9211649999997</v>
      </c>
      <c r="L96" s="111"/>
      <c r="M96" s="162">
        <f t="shared" ref="M96:M109" si="12">F96*30%*C96</f>
        <v>7963.65</v>
      </c>
      <c r="N96" s="162"/>
      <c r="O96" s="112"/>
      <c r="P96" s="162"/>
      <c r="Q96" s="112"/>
      <c r="R96" s="112"/>
      <c r="S96" s="112"/>
      <c r="T96" s="112"/>
      <c r="U96" s="112"/>
      <c r="V96" s="112"/>
      <c r="W96" s="112">
        <f t="shared" si="10"/>
        <v>108887.78281499998</v>
      </c>
      <c r="X96" s="112">
        <f t="shared" si="11"/>
        <v>1306.6533937799998</v>
      </c>
    </row>
    <row r="97" spans="1:24" s="155" customFormat="1" ht="25.5">
      <c r="A97" s="84">
        <v>86</v>
      </c>
      <c r="B97" s="150" t="s">
        <v>283</v>
      </c>
      <c r="C97" s="84">
        <v>1.5</v>
      </c>
      <c r="D97" s="84">
        <v>2</v>
      </c>
      <c r="E97" s="124">
        <v>2.81</v>
      </c>
      <c r="F97" s="111">
        <v>17697</v>
      </c>
      <c r="G97" s="83">
        <v>1.23</v>
      </c>
      <c r="H97" s="111">
        <f t="shared" si="5"/>
        <v>91749.211649999997</v>
      </c>
      <c r="I97" s="111"/>
      <c r="J97" s="111">
        <f t="shared" si="8"/>
        <v>91749.211649999997</v>
      </c>
      <c r="K97" s="111">
        <f t="shared" si="9"/>
        <v>9174.9211649999997</v>
      </c>
      <c r="L97" s="111"/>
      <c r="M97" s="162">
        <f t="shared" si="12"/>
        <v>7963.65</v>
      </c>
      <c r="N97" s="162"/>
      <c r="O97" s="112"/>
      <c r="P97" s="162"/>
      <c r="Q97" s="112"/>
      <c r="R97" s="112"/>
      <c r="S97" s="112"/>
      <c r="T97" s="112"/>
      <c r="U97" s="112"/>
      <c r="V97" s="112"/>
      <c r="W97" s="112">
        <f t="shared" si="10"/>
        <v>108887.78281499998</v>
      </c>
      <c r="X97" s="112">
        <f t="shared" si="11"/>
        <v>1306.6533937799998</v>
      </c>
    </row>
    <row r="98" spans="1:24" s="155" customFormat="1" ht="25.5">
      <c r="A98" s="84">
        <v>87</v>
      </c>
      <c r="B98" s="150" t="s">
        <v>283</v>
      </c>
      <c r="C98" s="84">
        <v>1.5</v>
      </c>
      <c r="D98" s="84">
        <v>2</v>
      </c>
      <c r="E98" s="121">
        <v>2.81</v>
      </c>
      <c r="F98" s="111">
        <v>17697</v>
      </c>
      <c r="G98" s="83">
        <v>1.23</v>
      </c>
      <c r="H98" s="111">
        <f t="shared" si="5"/>
        <v>91749.211649999997</v>
      </c>
      <c r="I98" s="111"/>
      <c r="J98" s="111">
        <f t="shared" si="8"/>
        <v>91749.211649999997</v>
      </c>
      <c r="K98" s="111">
        <f t="shared" si="9"/>
        <v>9174.9211649999997</v>
      </c>
      <c r="L98" s="111"/>
      <c r="M98" s="162">
        <f t="shared" si="12"/>
        <v>7963.65</v>
      </c>
      <c r="N98" s="162"/>
      <c r="O98" s="112"/>
      <c r="P98" s="162"/>
      <c r="Q98" s="112"/>
      <c r="R98" s="112"/>
      <c r="S98" s="112"/>
      <c r="T98" s="112"/>
      <c r="U98" s="112"/>
      <c r="V98" s="112"/>
      <c r="W98" s="112">
        <f t="shared" si="10"/>
        <v>108887.78281499998</v>
      </c>
      <c r="X98" s="112">
        <f t="shared" si="11"/>
        <v>1306.6533937799998</v>
      </c>
    </row>
    <row r="99" spans="1:24" s="155" customFormat="1" ht="25.5">
      <c r="A99" s="84">
        <v>88</v>
      </c>
      <c r="B99" s="150" t="s">
        <v>283</v>
      </c>
      <c r="C99" s="84">
        <v>1.5</v>
      </c>
      <c r="D99" s="84">
        <v>2</v>
      </c>
      <c r="E99" s="121">
        <v>2.81</v>
      </c>
      <c r="F99" s="111">
        <v>17697</v>
      </c>
      <c r="G99" s="83">
        <v>1.23</v>
      </c>
      <c r="H99" s="111">
        <f t="shared" si="5"/>
        <v>91749.211649999997</v>
      </c>
      <c r="I99" s="111"/>
      <c r="J99" s="111">
        <f t="shared" si="8"/>
        <v>91749.211649999997</v>
      </c>
      <c r="K99" s="111">
        <f t="shared" si="9"/>
        <v>9174.9211649999997</v>
      </c>
      <c r="L99" s="111"/>
      <c r="M99" s="162">
        <f t="shared" si="12"/>
        <v>7963.65</v>
      </c>
      <c r="N99" s="162"/>
      <c r="O99" s="112"/>
      <c r="P99" s="162"/>
      <c r="Q99" s="112"/>
      <c r="R99" s="112"/>
      <c r="S99" s="112"/>
      <c r="T99" s="112"/>
      <c r="U99" s="112"/>
      <c r="V99" s="112"/>
      <c r="W99" s="112">
        <f t="shared" si="10"/>
        <v>108887.78281499998</v>
      </c>
      <c r="X99" s="112">
        <f t="shared" si="11"/>
        <v>1306.6533937799998</v>
      </c>
    </row>
    <row r="100" spans="1:24" s="155" customFormat="1" ht="25.5">
      <c r="A100" s="84">
        <v>89</v>
      </c>
      <c r="B100" s="150" t="s">
        <v>283</v>
      </c>
      <c r="C100" s="84">
        <v>1.5</v>
      </c>
      <c r="D100" s="84">
        <v>2</v>
      </c>
      <c r="E100" s="121">
        <v>2.81</v>
      </c>
      <c r="F100" s="111">
        <v>17697</v>
      </c>
      <c r="G100" s="83">
        <v>1.23</v>
      </c>
      <c r="H100" s="111">
        <f t="shared" si="5"/>
        <v>91749.211649999997</v>
      </c>
      <c r="I100" s="111"/>
      <c r="J100" s="111">
        <f t="shared" si="8"/>
        <v>91749.211649999997</v>
      </c>
      <c r="K100" s="111">
        <f t="shared" si="9"/>
        <v>9174.9211649999997</v>
      </c>
      <c r="L100" s="111"/>
      <c r="M100" s="162">
        <f t="shared" si="12"/>
        <v>7963.65</v>
      </c>
      <c r="N100" s="162"/>
      <c r="O100" s="112"/>
      <c r="P100" s="162"/>
      <c r="Q100" s="112"/>
      <c r="R100" s="112"/>
      <c r="S100" s="112"/>
      <c r="T100" s="112"/>
      <c r="U100" s="112"/>
      <c r="V100" s="112"/>
      <c r="W100" s="112">
        <f t="shared" si="10"/>
        <v>108887.78281499998</v>
      </c>
      <c r="X100" s="112">
        <f t="shared" si="11"/>
        <v>1306.6533937799998</v>
      </c>
    </row>
    <row r="101" spans="1:24" s="155" customFormat="1" ht="25.5">
      <c r="A101" s="84">
        <v>90</v>
      </c>
      <c r="B101" s="150" t="s">
        <v>283</v>
      </c>
      <c r="C101" s="84">
        <v>1.5</v>
      </c>
      <c r="D101" s="84">
        <v>2</v>
      </c>
      <c r="E101" s="121">
        <v>2.81</v>
      </c>
      <c r="F101" s="111">
        <v>17697</v>
      </c>
      <c r="G101" s="83">
        <v>1.23</v>
      </c>
      <c r="H101" s="111">
        <f t="shared" si="5"/>
        <v>91749.211649999997</v>
      </c>
      <c r="I101" s="111"/>
      <c r="J101" s="111">
        <f t="shared" si="8"/>
        <v>91749.211649999997</v>
      </c>
      <c r="K101" s="111">
        <f t="shared" si="9"/>
        <v>9174.9211649999997</v>
      </c>
      <c r="L101" s="111"/>
      <c r="M101" s="162">
        <f t="shared" si="12"/>
        <v>7963.65</v>
      </c>
      <c r="N101" s="162"/>
      <c r="O101" s="112"/>
      <c r="P101" s="162"/>
      <c r="Q101" s="112"/>
      <c r="R101" s="112"/>
      <c r="S101" s="112"/>
      <c r="T101" s="112"/>
      <c r="U101" s="112"/>
      <c r="V101" s="112"/>
      <c r="W101" s="112">
        <f t="shared" si="10"/>
        <v>108887.78281499998</v>
      </c>
      <c r="X101" s="112">
        <f t="shared" si="11"/>
        <v>1306.6533937799998</v>
      </c>
    </row>
    <row r="102" spans="1:24" s="155" customFormat="1" ht="25.5">
      <c r="A102" s="84">
        <v>91</v>
      </c>
      <c r="B102" s="150" t="s">
        <v>283</v>
      </c>
      <c r="C102" s="84">
        <v>1.5</v>
      </c>
      <c r="D102" s="84">
        <v>2</v>
      </c>
      <c r="E102" s="121">
        <v>2.81</v>
      </c>
      <c r="F102" s="111">
        <v>17697</v>
      </c>
      <c r="G102" s="83">
        <v>1.23</v>
      </c>
      <c r="H102" s="111">
        <f t="shared" si="5"/>
        <v>91749.211649999997</v>
      </c>
      <c r="I102" s="111"/>
      <c r="J102" s="111">
        <f t="shared" si="8"/>
        <v>91749.211649999997</v>
      </c>
      <c r="K102" s="111">
        <f t="shared" si="9"/>
        <v>9174.9211649999997</v>
      </c>
      <c r="L102" s="111"/>
      <c r="M102" s="162">
        <f t="shared" si="12"/>
        <v>7963.65</v>
      </c>
      <c r="N102" s="162"/>
      <c r="O102" s="112"/>
      <c r="P102" s="162"/>
      <c r="Q102" s="112"/>
      <c r="R102" s="112"/>
      <c r="S102" s="112"/>
      <c r="T102" s="112"/>
      <c r="U102" s="112"/>
      <c r="V102" s="112"/>
      <c r="W102" s="112">
        <f t="shared" si="10"/>
        <v>108887.78281499998</v>
      </c>
      <c r="X102" s="112">
        <f t="shared" si="11"/>
        <v>1306.6533937799998</v>
      </c>
    </row>
    <row r="103" spans="1:24" s="155" customFormat="1" ht="25.5">
      <c r="A103" s="84">
        <v>92</v>
      </c>
      <c r="B103" s="150" t="s">
        <v>283</v>
      </c>
      <c r="C103" s="84">
        <v>1.5</v>
      </c>
      <c r="D103" s="84">
        <v>2</v>
      </c>
      <c r="E103" s="121">
        <v>2.81</v>
      </c>
      <c r="F103" s="111">
        <v>17697</v>
      </c>
      <c r="G103" s="83">
        <v>1.23</v>
      </c>
      <c r="H103" s="111">
        <f t="shared" si="5"/>
        <v>91749.211649999997</v>
      </c>
      <c r="I103" s="111"/>
      <c r="J103" s="111">
        <f t="shared" si="8"/>
        <v>91749.211649999997</v>
      </c>
      <c r="K103" s="111">
        <f t="shared" si="9"/>
        <v>9174.9211649999997</v>
      </c>
      <c r="L103" s="111"/>
      <c r="M103" s="162">
        <f t="shared" si="12"/>
        <v>7963.65</v>
      </c>
      <c r="N103" s="162"/>
      <c r="O103" s="112"/>
      <c r="P103" s="162"/>
      <c r="Q103" s="112"/>
      <c r="R103" s="112"/>
      <c r="S103" s="112"/>
      <c r="T103" s="112"/>
      <c r="U103" s="112"/>
      <c r="V103" s="112"/>
      <c r="W103" s="112">
        <f t="shared" si="10"/>
        <v>108887.78281499998</v>
      </c>
      <c r="X103" s="112">
        <f t="shared" si="11"/>
        <v>1306.6533937799998</v>
      </c>
    </row>
    <row r="104" spans="1:24" s="155" customFormat="1" ht="25.5">
      <c r="A104" s="84">
        <v>93</v>
      </c>
      <c r="B104" s="150" t="s">
        <v>283</v>
      </c>
      <c r="C104" s="84">
        <v>1</v>
      </c>
      <c r="D104" s="84">
        <v>2</v>
      </c>
      <c r="E104" s="121">
        <v>2.8140000000000001</v>
      </c>
      <c r="F104" s="111">
        <v>17697</v>
      </c>
      <c r="G104" s="83">
        <v>1.23</v>
      </c>
      <c r="H104" s="111">
        <f t="shared" si="5"/>
        <v>61253.210339999998</v>
      </c>
      <c r="I104" s="111"/>
      <c r="J104" s="111">
        <f t="shared" si="8"/>
        <v>61253.210339999998</v>
      </c>
      <c r="K104" s="111">
        <f t="shared" si="9"/>
        <v>6125.3210340000005</v>
      </c>
      <c r="L104" s="111"/>
      <c r="M104" s="162">
        <f t="shared" si="12"/>
        <v>5309.0999999999995</v>
      </c>
      <c r="N104" s="162"/>
      <c r="O104" s="112"/>
      <c r="P104" s="162"/>
      <c r="Q104" s="112"/>
      <c r="R104" s="112"/>
      <c r="S104" s="112"/>
      <c r="T104" s="112"/>
      <c r="U104" s="112"/>
      <c r="V104" s="112"/>
      <c r="W104" s="112">
        <f t="shared" si="10"/>
        <v>72687.631374000004</v>
      </c>
      <c r="X104" s="112">
        <f t="shared" si="11"/>
        <v>872.25157648800007</v>
      </c>
    </row>
    <row r="105" spans="1:24" s="155" customFormat="1" ht="25.5">
      <c r="A105" s="84">
        <v>94</v>
      </c>
      <c r="B105" s="150" t="s">
        <v>283</v>
      </c>
      <c r="C105" s="84">
        <v>0.5</v>
      </c>
      <c r="D105" s="84">
        <v>2</v>
      </c>
      <c r="E105" s="121">
        <v>2.8140000000000001</v>
      </c>
      <c r="F105" s="111">
        <v>17697</v>
      </c>
      <c r="G105" s="83">
        <v>1.23</v>
      </c>
      <c r="H105" s="111">
        <f t="shared" si="5"/>
        <v>30626.605169999999</v>
      </c>
      <c r="I105" s="111"/>
      <c r="J105" s="111">
        <f t="shared" si="8"/>
        <v>30626.605169999999</v>
      </c>
      <c r="K105" s="111">
        <f t="shared" si="9"/>
        <v>3062.6605170000003</v>
      </c>
      <c r="L105" s="111"/>
      <c r="M105" s="162">
        <f t="shared" si="12"/>
        <v>2654.5499999999997</v>
      </c>
      <c r="N105" s="162"/>
      <c r="O105" s="112"/>
      <c r="P105" s="162"/>
      <c r="Q105" s="112"/>
      <c r="R105" s="112"/>
      <c r="S105" s="112"/>
      <c r="T105" s="112"/>
      <c r="U105" s="112"/>
      <c r="V105" s="112"/>
      <c r="W105" s="112">
        <f t="shared" si="10"/>
        <v>36343.815687000002</v>
      </c>
      <c r="X105" s="112">
        <f t="shared" si="11"/>
        <v>436.12578824400003</v>
      </c>
    </row>
    <row r="106" spans="1:24" s="155" customFormat="1" ht="25.5">
      <c r="A106" s="84">
        <v>95</v>
      </c>
      <c r="B106" s="150" t="s">
        <v>283</v>
      </c>
      <c r="C106" s="84">
        <v>1.5</v>
      </c>
      <c r="D106" s="84">
        <v>2</v>
      </c>
      <c r="E106" s="121">
        <v>2.8140000000000001</v>
      </c>
      <c r="F106" s="111">
        <v>17697</v>
      </c>
      <c r="G106" s="83">
        <v>1.23</v>
      </c>
      <c r="H106" s="111">
        <f t="shared" si="5"/>
        <v>91879.81551</v>
      </c>
      <c r="I106" s="111"/>
      <c r="J106" s="111">
        <f t="shared" si="8"/>
        <v>91879.81551</v>
      </c>
      <c r="K106" s="111">
        <f t="shared" si="9"/>
        <v>9187.9815510000008</v>
      </c>
      <c r="L106" s="111"/>
      <c r="M106" s="162">
        <f t="shared" si="12"/>
        <v>7963.65</v>
      </c>
      <c r="N106" s="162"/>
      <c r="O106" s="112"/>
      <c r="P106" s="162"/>
      <c r="Q106" s="112"/>
      <c r="R106" s="112"/>
      <c r="S106" s="112"/>
      <c r="T106" s="112"/>
      <c r="U106" s="112"/>
      <c r="V106" s="112"/>
      <c r="W106" s="112">
        <f t="shared" si="10"/>
        <v>109031.447061</v>
      </c>
      <c r="X106" s="112">
        <f t="shared" si="11"/>
        <v>1308.3773647319999</v>
      </c>
    </row>
    <row r="107" spans="1:24" s="155" customFormat="1" ht="25.5">
      <c r="A107" s="84">
        <v>96</v>
      </c>
      <c r="B107" s="150" t="s">
        <v>283</v>
      </c>
      <c r="C107" s="84">
        <v>1.5</v>
      </c>
      <c r="D107" s="84">
        <v>2</v>
      </c>
      <c r="E107" s="121">
        <v>2.8140000000000001</v>
      </c>
      <c r="F107" s="111">
        <v>17697</v>
      </c>
      <c r="G107" s="83">
        <v>1.23</v>
      </c>
      <c r="H107" s="111">
        <f t="shared" si="5"/>
        <v>91879.81551</v>
      </c>
      <c r="I107" s="111"/>
      <c r="J107" s="111">
        <f t="shared" si="8"/>
        <v>91879.81551</v>
      </c>
      <c r="K107" s="111">
        <f t="shared" si="9"/>
        <v>9187.9815510000008</v>
      </c>
      <c r="L107" s="111"/>
      <c r="M107" s="162">
        <f t="shared" si="12"/>
        <v>7963.65</v>
      </c>
      <c r="N107" s="162"/>
      <c r="O107" s="112"/>
      <c r="P107" s="162"/>
      <c r="Q107" s="112"/>
      <c r="R107" s="112"/>
      <c r="S107" s="112"/>
      <c r="T107" s="112"/>
      <c r="U107" s="112"/>
      <c r="V107" s="112"/>
      <c r="W107" s="112">
        <f t="shared" si="10"/>
        <v>109031.447061</v>
      </c>
      <c r="X107" s="112">
        <f t="shared" si="11"/>
        <v>1308.3773647319999</v>
      </c>
    </row>
    <row r="108" spans="1:24" s="155" customFormat="1" ht="25.5">
      <c r="A108" s="84">
        <v>97</v>
      </c>
      <c r="B108" s="150" t="s">
        <v>295</v>
      </c>
      <c r="C108" s="84">
        <v>1.5</v>
      </c>
      <c r="D108" s="84">
        <v>2</v>
      </c>
      <c r="E108" s="121">
        <v>2.81</v>
      </c>
      <c r="F108" s="111">
        <v>17697</v>
      </c>
      <c r="G108" s="83">
        <v>1.23</v>
      </c>
      <c r="H108" s="111">
        <f t="shared" si="5"/>
        <v>91749.211649999997</v>
      </c>
      <c r="I108" s="111"/>
      <c r="J108" s="111">
        <f t="shared" si="8"/>
        <v>91749.211649999997</v>
      </c>
      <c r="K108" s="111">
        <f t="shared" si="9"/>
        <v>9174.9211649999997</v>
      </c>
      <c r="L108" s="111"/>
      <c r="M108" s="162">
        <f t="shared" si="12"/>
        <v>7963.65</v>
      </c>
      <c r="N108" s="162"/>
      <c r="O108" s="112"/>
      <c r="P108" s="162"/>
      <c r="Q108" s="112"/>
      <c r="R108" s="112"/>
      <c r="S108" s="112"/>
      <c r="T108" s="112"/>
      <c r="U108" s="112"/>
      <c r="V108" s="112"/>
      <c r="W108" s="112">
        <f t="shared" si="10"/>
        <v>108887.78281499998</v>
      </c>
      <c r="X108" s="112">
        <f t="shared" si="11"/>
        <v>1306.6533937799998</v>
      </c>
    </row>
    <row r="109" spans="1:24" s="155" customFormat="1" ht="24" customHeight="1">
      <c r="A109" s="84">
        <v>98</v>
      </c>
      <c r="B109" s="150" t="s">
        <v>295</v>
      </c>
      <c r="C109" s="84">
        <v>0.5</v>
      </c>
      <c r="D109" s="84">
        <v>2</v>
      </c>
      <c r="E109" s="121">
        <v>2.81</v>
      </c>
      <c r="F109" s="111">
        <v>17697</v>
      </c>
      <c r="G109" s="83">
        <v>1.23</v>
      </c>
      <c r="H109" s="111">
        <f t="shared" si="5"/>
        <v>30583.07055</v>
      </c>
      <c r="I109" s="111"/>
      <c r="J109" s="111">
        <f t="shared" si="8"/>
        <v>30583.07055</v>
      </c>
      <c r="K109" s="111">
        <f t="shared" si="9"/>
        <v>3058.3070550000002</v>
      </c>
      <c r="L109" s="111"/>
      <c r="M109" s="162">
        <f t="shared" si="12"/>
        <v>2654.5499999999997</v>
      </c>
      <c r="N109" s="162"/>
      <c r="O109" s="112"/>
      <c r="P109" s="162"/>
      <c r="Q109" s="112"/>
      <c r="R109" s="112"/>
      <c r="S109" s="112"/>
      <c r="T109" s="112"/>
      <c r="U109" s="112"/>
      <c r="V109" s="112"/>
      <c r="W109" s="112">
        <f t="shared" si="10"/>
        <v>36295.927605000004</v>
      </c>
      <c r="X109" s="112">
        <f t="shared" si="11"/>
        <v>435.55113126000003</v>
      </c>
    </row>
    <row r="110" spans="1:24" s="155" customFormat="1" ht="38.25">
      <c r="A110" s="84">
        <v>99</v>
      </c>
      <c r="B110" s="150" t="s">
        <v>297</v>
      </c>
      <c r="C110" s="84">
        <v>0.5</v>
      </c>
      <c r="D110" s="84">
        <v>2</v>
      </c>
      <c r="E110" s="121">
        <v>2.81</v>
      </c>
      <c r="F110" s="111">
        <v>17697</v>
      </c>
      <c r="G110" s="83">
        <v>1.23</v>
      </c>
      <c r="H110" s="111">
        <f t="shared" si="5"/>
        <v>30583.07055</v>
      </c>
      <c r="I110" s="111"/>
      <c r="J110" s="111">
        <f t="shared" si="8"/>
        <v>30583.07055</v>
      </c>
      <c r="K110" s="111">
        <f t="shared" si="9"/>
        <v>3058.3070550000002</v>
      </c>
      <c r="L110" s="111"/>
      <c r="M110" s="162"/>
      <c r="N110" s="162"/>
      <c r="O110" s="112"/>
      <c r="P110" s="162"/>
      <c r="Q110" s="112"/>
      <c r="R110" s="112"/>
      <c r="S110" s="112"/>
      <c r="T110" s="112"/>
      <c r="U110" s="112"/>
      <c r="V110" s="112"/>
      <c r="W110" s="112">
        <f t="shared" si="10"/>
        <v>33641.377605000001</v>
      </c>
      <c r="X110" s="112">
        <f t="shared" si="11"/>
        <v>403.69653126000003</v>
      </c>
    </row>
    <row r="111" spans="1:24" s="155" customFormat="1" ht="38.25">
      <c r="A111" s="84">
        <v>100</v>
      </c>
      <c r="B111" s="150" t="s">
        <v>297</v>
      </c>
      <c r="C111" s="84">
        <v>1.5</v>
      </c>
      <c r="D111" s="84">
        <v>2</v>
      </c>
      <c r="E111" s="121">
        <v>2.81</v>
      </c>
      <c r="F111" s="111">
        <v>17697</v>
      </c>
      <c r="G111" s="83">
        <v>1.23</v>
      </c>
      <c r="H111" s="111">
        <f t="shared" si="5"/>
        <v>91749.211649999997</v>
      </c>
      <c r="I111" s="111"/>
      <c r="J111" s="111">
        <f t="shared" si="8"/>
        <v>91749.211649999997</v>
      </c>
      <c r="K111" s="111">
        <f t="shared" si="9"/>
        <v>9174.9211649999997</v>
      </c>
      <c r="L111" s="111"/>
      <c r="M111" s="162"/>
      <c r="N111" s="162"/>
      <c r="O111" s="112"/>
      <c r="P111" s="162"/>
      <c r="Q111" s="112"/>
      <c r="R111" s="112"/>
      <c r="S111" s="112"/>
      <c r="T111" s="112"/>
      <c r="U111" s="112"/>
      <c r="V111" s="112"/>
      <c r="W111" s="112">
        <f t="shared" si="10"/>
        <v>100924.13281499999</v>
      </c>
      <c r="X111" s="112">
        <f t="shared" si="11"/>
        <v>1211.0895937799999</v>
      </c>
    </row>
    <row r="112" spans="1:24" s="155" customFormat="1" ht="38.25">
      <c r="A112" s="84">
        <v>101</v>
      </c>
      <c r="B112" s="150" t="s">
        <v>297</v>
      </c>
      <c r="C112" s="84">
        <v>1.5</v>
      </c>
      <c r="D112" s="85">
        <v>2</v>
      </c>
      <c r="E112" s="121">
        <v>2.81</v>
      </c>
      <c r="F112" s="111">
        <v>17697</v>
      </c>
      <c r="G112" s="83">
        <v>1.23</v>
      </c>
      <c r="H112" s="111">
        <f t="shared" si="5"/>
        <v>91749.211649999997</v>
      </c>
      <c r="I112" s="111"/>
      <c r="J112" s="111">
        <f t="shared" si="8"/>
        <v>91749.211649999997</v>
      </c>
      <c r="K112" s="111">
        <f t="shared" si="9"/>
        <v>9174.9211649999997</v>
      </c>
      <c r="L112" s="111"/>
      <c r="M112" s="162"/>
      <c r="N112" s="162"/>
      <c r="O112" s="112"/>
      <c r="P112" s="162"/>
      <c r="Q112" s="112"/>
      <c r="R112" s="112"/>
      <c r="S112" s="112"/>
      <c r="T112" s="112"/>
      <c r="U112" s="112"/>
      <c r="V112" s="112"/>
      <c r="W112" s="112">
        <f t="shared" si="10"/>
        <v>100924.13281499999</v>
      </c>
      <c r="X112" s="112">
        <f t="shared" si="11"/>
        <v>1211.0895937799999</v>
      </c>
    </row>
    <row r="113" spans="1:24" s="155" customFormat="1" ht="38.25">
      <c r="A113" s="84">
        <v>102</v>
      </c>
      <c r="B113" s="150" t="s">
        <v>297</v>
      </c>
      <c r="C113" s="84">
        <v>0.5</v>
      </c>
      <c r="D113" s="84">
        <v>2</v>
      </c>
      <c r="E113" s="121">
        <v>2.81</v>
      </c>
      <c r="F113" s="111">
        <v>17697</v>
      </c>
      <c r="G113" s="83">
        <v>1.23</v>
      </c>
      <c r="H113" s="111">
        <f t="shared" si="5"/>
        <v>30583.07055</v>
      </c>
      <c r="I113" s="111"/>
      <c r="J113" s="111">
        <f t="shared" si="8"/>
        <v>30583.07055</v>
      </c>
      <c r="K113" s="111">
        <f t="shared" si="9"/>
        <v>3058.3070550000002</v>
      </c>
      <c r="L113" s="111"/>
      <c r="M113" s="162"/>
      <c r="N113" s="162"/>
      <c r="O113" s="112"/>
      <c r="P113" s="162"/>
      <c r="Q113" s="112"/>
      <c r="R113" s="112"/>
      <c r="S113" s="112"/>
      <c r="T113" s="112"/>
      <c r="U113" s="112"/>
      <c r="V113" s="112"/>
      <c r="W113" s="112">
        <f t="shared" si="10"/>
        <v>33641.377605000001</v>
      </c>
      <c r="X113" s="112">
        <f t="shared" si="11"/>
        <v>403.69653126000003</v>
      </c>
    </row>
    <row r="114" spans="1:24" s="155" customFormat="1">
      <c r="A114" s="84">
        <v>103</v>
      </c>
      <c r="B114" s="150" t="s">
        <v>301</v>
      </c>
      <c r="C114" s="84">
        <v>1</v>
      </c>
      <c r="D114" s="84">
        <v>1</v>
      </c>
      <c r="E114" s="124">
        <v>2.77</v>
      </c>
      <c r="F114" s="111">
        <v>17697</v>
      </c>
      <c r="G114" s="83">
        <v>1.23</v>
      </c>
      <c r="H114" s="111">
        <f t="shared" si="5"/>
        <v>60295.448700000001</v>
      </c>
      <c r="I114" s="111"/>
      <c r="J114" s="111">
        <f t="shared" si="8"/>
        <v>60295.448700000001</v>
      </c>
      <c r="K114" s="111">
        <f t="shared" si="9"/>
        <v>6029.5448700000006</v>
      </c>
      <c r="L114" s="111"/>
      <c r="M114" s="162"/>
      <c r="N114" s="162"/>
      <c r="O114" s="112"/>
      <c r="P114" s="162"/>
      <c r="Q114" s="112"/>
      <c r="R114" s="112"/>
      <c r="S114" s="112"/>
      <c r="T114" s="112"/>
      <c r="U114" s="112"/>
      <c r="V114" s="112"/>
      <c r="W114" s="112">
        <f t="shared" si="10"/>
        <v>66324.993570000006</v>
      </c>
      <c r="X114" s="112">
        <f t="shared" si="11"/>
        <v>795.89992284000016</v>
      </c>
    </row>
    <row r="115" spans="1:24" s="155" customFormat="1" ht="25.5">
      <c r="A115" s="84">
        <v>104</v>
      </c>
      <c r="B115" s="150" t="s">
        <v>303</v>
      </c>
      <c r="C115" s="84">
        <v>0.5</v>
      </c>
      <c r="D115" s="84">
        <v>1</v>
      </c>
      <c r="E115" s="121">
        <v>2.77</v>
      </c>
      <c r="F115" s="111">
        <v>17697</v>
      </c>
      <c r="G115" s="83">
        <v>1.23</v>
      </c>
      <c r="H115" s="111">
        <f t="shared" si="5"/>
        <v>30147.72435</v>
      </c>
      <c r="I115" s="111"/>
      <c r="J115" s="111">
        <f t="shared" si="8"/>
        <v>30147.72435</v>
      </c>
      <c r="K115" s="111">
        <f t="shared" si="9"/>
        <v>3014.7724350000003</v>
      </c>
      <c r="L115" s="111"/>
      <c r="M115" s="162">
        <f>F115*30%*C115</f>
        <v>2654.5499999999997</v>
      </c>
      <c r="N115" s="162"/>
      <c r="O115" s="112"/>
      <c r="P115" s="162"/>
      <c r="Q115" s="112"/>
      <c r="R115" s="112"/>
      <c r="S115" s="112"/>
      <c r="T115" s="112"/>
      <c r="U115" s="112"/>
      <c r="V115" s="112"/>
      <c r="W115" s="112">
        <f t="shared" si="10"/>
        <v>35817.046785000006</v>
      </c>
      <c r="X115" s="112">
        <f t="shared" si="11"/>
        <v>429.80456142000003</v>
      </c>
    </row>
    <row r="116" spans="1:24" s="155" customFormat="1" ht="25.5">
      <c r="A116" s="84">
        <v>105</v>
      </c>
      <c r="B116" s="150" t="s">
        <v>303</v>
      </c>
      <c r="C116" s="110">
        <v>0.5</v>
      </c>
      <c r="D116" s="84">
        <v>1</v>
      </c>
      <c r="E116" s="121">
        <v>2.77</v>
      </c>
      <c r="F116" s="111">
        <v>17697</v>
      </c>
      <c r="G116" s="83">
        <v>1.23</v>
      </c>
      <c r="H116" s="111">
        <f t="shared" si="5"/>
        <v>30147.72435</v>
      </c>
      <c r="I116" s="111"/>
      <c r="J116" s="111">
        <f>H116+I116</f>
        <v>30147.72435</v>
      </c>
      <c r="K116" s="111">
        <f>J116*10%</f>
        <v>3014.7724350000003</v>
      </c>
      <c r="L116" s="111"/>
      <c r="M116" s="162">
        <f>F116*30%*C116</f>
        <v>2654.5499999999997</v>
      </c>
      <c r="N116" s="162"/>
      <c r="O116" s="112"/>
      <c r="P116" s="162"/>
      <c r="Q116" s="112"/>
      <c r="R116" s="112"/>
      <c r="S116" s="112"/>
      <c r="T116" s="112"/>
      <c r="U116" s="112"/>
      <c r="V116" s="112"/>
      <c r="W116" s="112">
        <f>SUM(J116:V116)</f>
        <v>35817.046785000006</v>
      </c>
      <c r="X116" s="112">
        <f>W116*12/1000</f>
        <v>429.80456142000003</v>
      </c>
    </row>
    <row r="117" spans="1:24" s="155" customFormat="1">
      <c r="A117" s="84">
        <v>106</v>
      </c>
      <c r="B117" s="150" t="s">
        <v>304</v>
      </c>
      <c r="C117" s="84">
        <v>1</v>
      </c>
      <c r="D117" s="84">
        <v>1</v>
      </c>
      <c r="E117" s="121">
        <v>2.77</v>
      </c>
      <c r="F117" s="111">
        <v>17697</v>
      </c>
      <c r="G117" s="83">
        <v>1.23</v>
      </c>
      <c r="H117" s="111">
        <f t="shared" si="5"/>
        <v>60295.448700000001</v>
      </c>
      <c r="I117" s="111"/>
      <c r="J117" s="111">
        <f t="shared" si="8"/>
        <v>60295.448700000001</v>
      </c>
      <c r="K117" s="111">
        <f t="shared" si="9"/>
        <v>6029.5448700000006</v>
      </c>
      <c r="L117" s="111"/>
      <c r="M117" s="162"/>
      <c r="N117" s="162"/>
      <c r="O117" s="112"/>
      <c r="P117" s="112">
        <f t="shared" ref="P117:P122" si="13">J117/20.42/8*243.33/2/3</f>
        <v>14968.669943857125</v>
      </c>
      <c r="Q117" s="112"/>
      <c r="R117" s="112"/>
      <c r="S117" s="112"/>
      <c r="T117" s="112"/>
      <c r="U117" s="112"/>
      <c r="V117" s="112"/>
      <c r="W117" s="112">
        <f t="shared" si="10"/>
        <v>81293.663513857129</v>
      </c>
      <c r="X117" s="112">
        <f t="shared" si="11"/>
        <v>975.52396216628563</v>
      </c>
    </row>
    <row r="118" spans="1:24" s="155" customFormat="1">
      <c r="A118" s="84">
        <v>107</v>
      </c>
      <c r="B118" s="150" t="s">
        <v>304</v>
      </c>
      <c r="C118" s="84">
        <v>1</v>
      </c>
      <c r="D118" s="84">
        <v>1</v>
      </c>
      <c r="E118" s="121">
        <v>2.77</v>
      </c>
      <c r="F118" s="111">
        <v>17697</v>
      </c>
      <c r="G118" s="83">
        <v>1.23</v>
      </c>
      <c r="H118" s="111">
        <f t="shared" si="5"/>
        <v>60295.448700000001</v>
      </c>
      <c r="I118" s="111"/>
      <c r="J118" s="111">
        <f t="shared" si="8"/>
        <v>60295.448700000001</v>
      </c>
      <c r="K118" s="111">
        <f t="shared" si="9"/>
        <v>6029.5448700000006</v>
      </c>
      <c r="L118" s="111"/>
      <c r="M118" s="162"/>
      <c r="N118" s="162"/>
      <c r="O118" s="112"/>
      <c r="P118" s="112">
        <f t="shared" si="13"/>
        <v>14968.669943857125</v>
      </c>
      <c r="Q118" s="112"/>
      <c r="R118" s="112"/>
      <c r="S118" s="112"/>
      <c r="T118" s="112"/>
      <c r="U118" s="112"/>
      <c r="V118" s="112"/>
      <c r="W118" s="112">
        <f t="shared" si="10"/>
        <v>81293.663513857129</v>
      </c>
      <c r="X118" s="112">
        <f t="shared" si="11"/>
        <v>975.52396216628563</v>
      </c>
    </row>
    <row r="119" spans="1:24" s="155" customFormat="1">
      <c r="A119" s="84">
        <v>108</v>
      </c>
      <c r="B119" s="150" t="s">
        <v>304</v>
      </c>
      <c r="C119" s="84">
        <v>1</v>
      </c>
      <c r="D119" s="84">
        <v>1</v>
      </c>
      <c r="E119" s="121">
        <v>2.77</v>
      </c>
      <c r="F119" s="111">
        <v>17697</v>
      </c>
      <c r="G119" s="83">
        <v>1.23</v>
      </c>
      <c r="H119" s="111">
        <f t="shared" si="5"/>
        <v>60295.448700000001</v>
      </c>
      <c r="I119" s="111"/>
      <c r="J119" s="111">
        <f t="shared" si="8"/>
        <v>60295.448700000001</v>
      </c>
      <c r="K119" s="111">
        <f t="shared" si="9"/>
        <v>6029.5448700000006</v>
      </c>
      <c r="L119" s="111"/>
      <c r="M119" s="162"/>
      <c r="N119" s="162"/>
      <c r="O119" s="112"/>
      <c r="P119" s="112">
        <f t="shared" si="13"/>
        <v>14968.669943857125</v>
      </c>
      <c r="Q119" s="112"/>
      <c r="R119" s="112"/>
      <c r="S119" s="112"/>
      <c r="T119" s="112"/>
      <c r="U119" s="112"/>
      <c r="V119" s="112"/>
      <c r="W119" s="112">
        <f t="shared" si="10"/>
        <v>81293.663513857129</v>
      </c>
      <c r="X119" s="112">
        <f t="shared" si="11"/>
        <v>975.52396216628563</v>
      </c>
    </row>
    <row r="120" spans="1:24" s="155" customFormat="1">
      <c r="A120" s="84">
        <v>109</v>
      </c>
      <c r="B120" s="150" t="s">
        <v>304</v>
      </c>
      <c r="C120" s="84">
        <v>1</v>
      </c>
      <c r="D120" s="84">
        <v>1</v>
      </c>
      <c r="E120" s="121">
        <v>2.77</v>
      </c>
      <c r="F120" s="111">
        <v>17697</v>
      </c>
      <c r="G120" s="83">
        <v>1.23</v>
      </c>
      <c r="H120" s="111">
        <f t="shared" si="5"/>
        <v>60295.448700000001</v>
      </c>
      <c r="I120" s="111"/>
      <c r="J120" s="111">
        <f t="shared" si="8"/>
        <v>60295.448700000001</v>
      </c>
      <c r="K120" s="111">
        <f t="shared" si="9"/>
        <v>6029.5448700000006</v>
      </c>
      <c r="L120" s="111"/>
      <c r="M120" s="162"/>
      <c r="N120" s="162"/>
      <c r="O120" s="112"/>
      <c r="P120" s="112">
        <f t="shared" si="13"/>
        <v>14968.669943857125</v>
      </c>
      <c r="Q120" s="112"/>
      <c r="R120" s="112"/>
      <c r="S120" s="112"/>
      <c r="T120" s="112"/>
      <c r="U120" s="112"/>
      <c r="V120" s="112"/>
      <c r="W120" s="112">
        <f t="shared" si="10"/>
        <v>81293.663513857129</v>
      </c>
      <c r="X120" s="112">
        <f t="shared" si="11"/>
        <v>975.52396216628563</v>
      </c>
    </row>
    <row r="121" spans="1:24" s="155" customFormat="1">
      <c r="A121" s="84">
        <v>110</v>
      </c>
      <c r="B121" s="150" t="s">
        <v>304</v>
      </c>
      <c r="C121" s="84">
        <v>1</v>
      </c>
      <c r="D121" s="84">
        <v>1</v>
      </c>
      <c r="E121" s="121">
        <v>2.77</v>
      </c>
      <c r="F121" s="111">
        <v>17697</v>
      </c>
      <c r="G121" s="83">
        <v>1.23</v>
      </c>
      <c r="H121" s="111">
        <f t="shared" si="5"/>
        <v>60295.448700000001</v>
      </c>
      <c r="I121" s="111"/>
      <c r="J121" s="111">
        <f t="shared" si="8"/>
        <v>60295.448700000001</v>
      </c>
      <c r="K121" s="111">
        <f t="shared" si="9"/>
        <v>6029.5448700000006</v>
      </c>
      <c r="L121" s="111"/>
      <c r="M121" s="162"/>
      <c r="N121" s="162"/>
      <c r="O121" s="112"/>
      <c r="P121" s="112">
        <f t="shared" si="13"/>
        <v>14968.669943857125</v>
      </c>
      <c r="Q121" s="112"/>
      <c r="R121" s="112"/>
      <c r="S121" s="112"/>
      <c r="T121" s="112"/>
      <c r="U121" s="112"/>
      <c r="V121" s="112"/>
      <c r="W121" s="112">
        <f t="shared" si="10"/>
        <v>81293.663513857129</v>
      </c>
      <c r="X121" s="112">
        <f t="shared" si="11"/>
        <v>975.52396216628563</v>
      </c>
    </row>
    <row r="122" spans="1:24" s="155" customFormat="1">
      <c r="A122" s="84">
        <v>111</v>
      </c>
      <c r="B122" s="150" t="s">
        <v>304</v>
      </c>
      <c r="C122" s="84">
        <v>1</v>
      </c>
      <c r="D122" s="84">
        <v>1</v>
      </c>
      <c r="E122" s="121">
        <v>2.77</v>
      </c>
      <c r="F122" s="111">
        <v>17697</v>
      </c>
      <c r="G122" s="83">
        <v>1.23</v>
      </c>
      <c r="H122" s="111">
        <f t="shared" si="5"/>
        <v>60295.448700000001</v>
      </c>
      <c r="I122" s="111"/>
      <c r="J122" s="111">
        <f t="shared" si="8"/>
        <v>60295.448700000001</v>
      </c>
      <c r="K122" s="111">
        <f t="shared" si="9"/>
        <v>6029.5448700000006</v>
      </c>
      <c r="L122" s="111"/>
      <c r="M122" s="162"/>
      <c r="N122" s="162"/>
      <c r="O122" s="112"/>
      <c r="P122" s="112">
        <f t="shared" si="13"/>
        <v>14968.669943857125</v>
      </c>
      <c r="Q122" s="112"/>
      <c r="R122" s="112"/>
      <c r="S122" s="112"/>
      <c r="T122" s="112"/>
      <c r="U122" s="112"/>
      <c r="V122" s="112"/>
      <c r="W122" s="112">
        <f t="shared" si="10"/>
        <v>81293.663513857129</v>
      </c>
      <c r="X122" s="112">
        <f t="shared" si="11"/>
        <v>975.52396216628563</v>
      </c>
    </row>
    <row r="123" spans="1:24" s="155" customFormat="1" ht="33" customHeight="1">
      <c r="A123" s="84">
        <v>112</v>
      </c>
      <c r="B123" s="150" t="s">
        <v>311</v>
      </c>
      <c r="C123" s="84">
        <v>0.5</v>
      </c>
      <c r="D123" s="84">
        <v>1</v>
      </c>
      <c r="E123" s="121">
        <v>2.77</v>
      </c>
      <c r="F123" s="111">
        <v>17697</v>
      </c>
      <c r="G123" s="83">
        <v>1.23</v>
      </c>
      <c r="H123" s="111">
        <f t="shared" si="5"/>
        <v>30147.72435</v>
      </c>
      <c r="I123" s="111"/>
      <c r="J123" s="111">
        <f t="shared" si="8"/>
        <v>30147.72435</v>
      </c>
      <c r="K123" s="111">
        <f t="shared" si="9"/>
        <v>3014.7724350000003</v>
      </c>
      <c r="L123" s="111"/>
      <c r="M123" s="164"/>
      <c r="N123" s="162"/>
      <c r="O123" s="112"/>
      <c r="P123" s="162"/>
      <c r="Q123" s="112"/>
      <c r="R123" s="112"/>
      <c r="S123" s="112"/>
      <c r="T123" s="112"/>
      <c r="U123" s="112"/>
      <c r="V123" s="112"/>
      <c r="W123" s="112">
        <f t="shared" si="10"/>
        <v>33162.496785000003</v>
      </c>
      <c r="X123" s="112">
        <f t="shared" si="11"/>
        <v>397.94996142000008</v>
      </c>
    </row>
    <row r="124" spans="1:24" s="155" customFormat="1" ht="30" customHeight="1">
      <c r="A124" s="84">
        <v>113</v>
      </c>
      <c r="B124" s="150" t="s">
        <v>311</v>
      </c>
      <c r="C124" s="84">
        <v>1</v>
      </c>
      <c r="D124" s="84">
        <v>1</v>
      </c>
      <c r="E124" s="121">
        <v>2.77</v>
      </c>
      <c r="F124" s="111">
        <v>17697</v>
      </c>
      <c r="G124" s="83">
        <v>1.23</v>
      </c>
      <c r="H124" s="111">
        <f t="shared" si="5"/>
        <v>60295.448700000001</v>
      </c>
      <c r="I124" s="111"/>
      <c r="J124" s="111">
        <f t="shared" si="8"/>
        <v>60295.448700000001</v>
      </c>
      <c r="K124" s="111">
        <f t="shared" si="9"/>
        <v>6029.5448700000006</v>
      </c>
      <c r="L124" s="111"/>
      <c r="M124" s="162"/>
      <c r="N124" s="162"/>
      <c r="O124" s="112"/>
      <c r="P124" s="162"/>
      <c r="Q124" s="112"/>
      <c r="R124" s="112"/>
      <c r="S124" s="112"/>
      <c r="T124" s="112"/>
      <c r="U124" s="112"/>
      <c r="V124" s="112"/>
      <c r="W124" s="112">
        <f t="shared" si="10"/>
        <v>66324.993570000006</v>
      </c>
      <c r="X124" s="112">
        <f t="shared" si="11"/>
        <v>795.89992284000016</v>
      </c>
    </row>
    <row r="125" spans="1:24" s="155" customFormat="1">
      <c r="A125" s="84">
        <v>114</v>
      </c>
      <c r="B125" s="150" t="s">
        <v>311</v>
      </c>
      <c r="C125" s="84">
        <v>1.5</v>
      </c>
      <c r="D125" s="84">
        <v>1</v>
      </c>
      <c r="E125" s="121">
        <v>2.77</v>
      </c>
      <c r="F125" s="111">
        <v>17697</v>
      </c>
      <c r="G125" s="83">
        <v>1.23</v>
      </c>
      <c r="H125" s="111">
        <f t="shared" si="5"/>
        <v>90443.173049999998</v>
      </c>
      <c r="I125" s="111"/>
      <c r="J125" s="111">
        <f t="shared" si="8"/>
        <v>90443.173049999998</v>
      </c>
      <c r="K125" s="111">
        <f t="shared" si="9"/>
        <v>9044.3173050000005</v>
      </c>
      <c r="L125" s="111"/>
      <c r="M125" s="162"/>
      <c r="N125" s="162"/>
      <c r="O125" s="112"/>
      <c r="P125" s="162"/>
      <c r="Q125" s="112"/>
      <c r="R125" s="112"/>
      <c r="S125" s="112"/>
      <c r="T125" s="112"/>
      <c r="U125" s="112"/>
      <c r="V125" s="112"/>
      <c r="W125" s="112">
        <f t="shared" si="10"/>
        <v>99487.490355000002</v>
      </c>
      <c r="X125" s="112">
        <f t="shared" si="11"/>
        <v>1193.84988426</v>
      </c>
    </row>
    <row r="126" spans="1:24" s="155" customFormat="1" ht="23.25" customHeight="1">
      <c r="A126" s="84">
        <v>115</v>
      </c>
      <c r="B126" s="150" t="s">
        <v>311</v>
      </c>
      <c r="C126" s="84">
        <v>0.5</v>
      </c>
      <c r="D126" s="84">
        <v>1</v>
      </c>
      <c r="E126" s="121">
        <v>2.77</v>
      </c>
      <c r="F126" s="111">
        <v>17697</v>
      </c>
      <c r="G126" s="83">
        <v>1.23</v>
      </c>
      <c r="H126" s="111">
        <f t="shared" si="5"/>
        <v>30147.72435</v>
      </c>
      <c r="I126" s="111"/>
      <c r="J126" s="111">
        <f t="shared" si="8"/>
        <v>30147.72435</v>
      </c>
      <c r="K126" s="111">
        <f t="shared" si="9"/>
        <v>3014.7724350000003</v>
      </c>
      <c r="L126" s="111"/>
      <c r="M126" s="162"/>
      <c r="N126" s="162"/>
      <c r="O126" s="112"/>
      <c r="P126" s="162"/>
      <c r="Q126" s="112"/>
      <c r="R126" s="112"/>
      <c r="S126" s="112"/>
      <c r="T126" s="112"/>
      <c r="U126" s="112"/>
      <c r="V126" s="112"/>
      <c r="W126" s="112">
        <f t="shared" si="10"/>
        <v>33162.496785000003</v>
      </c>
      <c r="X126" s="112">
        <f t="shared" si="11"/>
        <v>397.94996142000008</v>
      </c>
    </row>
    <row r="127" spans="1:24" s="155" customFormat="1">
      <c r="A127" s="84">
        <v>116</v>
      </c>
      <c r="B127" s="150" t="s">
        <v>311</v>
      </c>
      <c r="C127" s="84">
        <v>0.5</v>
      </c>
      <c r="D127" s="84">
        <v>1</v>
      </c>
      <c r="E127" s="121">
        <v>2.77</v>
      </c>
      <c r="F127" s="111">
        <v>17697</v>
      </c>
      <c r="G127" s="83">
        <v>1.23</v>
      </c>
      <c r="H127" s="111">
        <f t="shared" si="5"/>
        <v>30147.72435</v>
      </c>
      <c r="I127" s="111"/>
      <c r="J127" s="111">
        <f t="shared" si="8"/>
        <v>30147.72435</v>
      </c>
      <c r="K127" s="111">
        <f t="shared" si="9"/>
        <v>3014.7724350000003</v>
      </c>
      <c r="L127" s="111"/>
      <c r="M127" s="162"/>
      <c r="N127" s="162"/>
      <c r="O127" s="112"/>
      <c r="P127" s="162"/>
      <c r="Q127" s="112"/>
      <c r="R127" s="112"/>
      <c r="S127" s="112"/>
      <c r="T127" s="112"/>
      <c r="U127" s="112"/>
      <c r="V127" s="112"/>
      <c r="W127" s="112">
        <f t="shared" si="10"/>
        <v>33162.496785000003</v>
      </c>
      <c r="X127" s="112">
        <f t="shared" si="11"/>
        <v>397.94996142000008</v>
      </c>
    </row>
    <row r="128" spans="1:24" s="155" customFormat="1">
      <c r="A128" s="84">
        <v>117</v>
      </c>
      <c r="B128" s="150" t="s">
        <v>314</v>
      </c>
      <c r="C128" s="84">
        <v>1</v>
      </c>
      <c r="D128" s="84">
        <v>2</v>
      </c>
      <c r="E128" s="124">
        <v>2.81</v>
      </c>
      <c r="F128" s="111">
        <v>17697</v>
      </c>
      <c r="G128" s="83">
        <v>1.23</v>
      </c>
      <c r="H128" s="111">
        <f t="shared" si="5"/>
        <v>61166.141100000001</v>
      </c>
      <c r="I128" s="111"/>
      <c r="J128" s="111">
        <f t="shared" si="8"/>
        <v>61166.141100000001</v>
      </c>
      <c r="K128" s="111">
        <f t="shared" si="9"/>
        <v>6116.6141100000004</v>
      </c>
      <c r="L128" s="111"/>
      <c r="M128" s="162"/>
      <c r="N128" s="114"/>
      <c r="O128" s="112"/>
      <c r="P128" s="114"/>
      <c r="Q128" s="112"/>
      <c r="R128" s="112"/>
      <c r="S128" s="112"/>
      <c r="T128" s="112"/>
      <c r="U128" s="112"/>
      <c r="V128" s="112"/>
      <c r="W128" s="112">
        <f t="shared" si="10"/>
        <v>67282.755210000003</v>
      </c>
      <c r="X128" s="112">
        <f t="shared" si="11"/>
        <v>807.39306252000006</v>
      </c>
    </row>
    <row r="129" spans="1:24" s="155" customFormat="1" ht="18" customHeight="1">
      <c r="A129" s="84">
        <v>118</v>
      </c>
      <c r="B129" s="150" t="s">
        <v>316</v>
      </c>
      <c r="C129" s="84">
        <v>1</v>
      </c>
      <c r="D129" s="110">
        <v>5</v>
      </c>
      <c r="E129" s="166">
        <v>2.92</v>
      </c>
      <c r="F129" s="111">
        <v>17697</v>
      </c>
      <c r="G129" s="83">
        <v>1.23</v>
      </c>
      <c r="H129" s="111">
        <f t="shared" si="5"/>
        <v>63560.545199999993</v>
      </c>
      <c r="I129" s="111"/>
      <c r="J129" s="111">
        <f t="shared" si="8"/>
        <v>63560.545199999993</v>
      </c>
      <c r="K129" s="111">
        <f t="shared" si="9"/>
        <v>6356.0545199999997</v>
      </c>
      <c r="L129" s="111"/>
      <c r="M129" s="162"/>
      <c r="N129" s="162">
        <f>C129*F129*35%</f>
        <v>6193.95</v>
      </c>
      <c r="O129" s="112"/>
      <c r="P129" s="162"/>
      <c r="Q129" s="112"/>
      <c r="R129" s="112"/>
      <c r="S129" s="112"/>
      <c r="T129" s="112"/>
      <c r="U129" s="112"/>
      <c r="V129" s="112"/>
      <c r="W129" s="112">
        <f t="shared" si="10"/>
        <v>76110.549719999995</v>
      </c>
      <c r="X129" s="112">
        <f t="shared" si="11"/>
        <v>913.32659663999993</v>
      </c>
    </row>
    <row r="130" spans="1:24" s="155" customFormat="1" ht="25.5">
      <c r="A130" s="84">
        <v>119</v>
      </c>
      <c r="B130" s="151" t="s">
        <v>283</v>
      </c>
      <c r="C130" s="110">
        <v>0.5</v>
      </c>
      <c r="D130" s="110">
        <v>2</v>
      </c>
      <c r="E130" s="166">
        <v>2.81</v>
      </c>
      <c r="F130" s="111">
        <v>17697</v>
      </c>
      <c r="G130" s="83">
        <v>1.23</v>
      </c>
      <c r="H130" s="111">
        <f t="shared" si="5"/>
        <v>30583.07055</v>
      </c>
      <c r="I130" s="111"/>
      <c r="J130" s="111">
        <f t="shared" si="8"/>
        <v>30583.07055</v>
      </c>
      <c r="K130" s="111">
        <f t="shared" si="9"/>
        <v>3058.3070550000002</v>
      </c>
      <c r="L130" s="111"/>
      <c r="M130" s="162">
        <f>F130*30%*C130</f>
        <v>2654.5499999999997</v>
      </c>
      <c r="N130" s="162"/>
      <c r="O130" s="112"/>
      <c r="P130" s="162"/>
      <c r="Q130" s="112"/>
      <c r="R130" s="112"/>
      <c r="S130" s="112"/>
      <c r="T130" s="112"/>
      <c r="U130" s="112"/>
      <c r="V130" s="112"/>
      <c r="W130" s="112">
        <f t="shared" si="10"/>
        <v>36295.927605000004</v>
      </c>
      <c r="X130" s="112">
        <f t="shared" si="11"/>
        <v>435.55113126000003</v>
      </c>
    </row>
    <row r="131" spans="1:24" s="160" customFormat="1" ht="20.25" customHeight="1">
      <c r="A131" s="153"/>
      <c r="B131" s="152" t="s">
        <v>71</v>
      </c>
      <c r="C131" s="115">
        <f>SUM(C12:C130)</f>
        <v>116.5</v>
      </c>
      <c r="D131" s="146"/>
      <c r="E131" s="125"/>
      <c r="F131" s="62"/>
      <c r="G131" s="159"/>
      <c r="H131" s="62">
        <f t="shared" ref="H131:X131" si="14">SUM(H12:H130)</f>
        <v>11466891.312630007</v>
      </c>
      <c r="I131" s="62">
        <f t="shared" si="14"/>
        <v>0</v>
      </c>
      <c r="J131" s="62">
        <f t="shared" si="14"/>
        <v>11466891.312630007</v>
      </c>
      <c r="K131" s="62">
        <f t="shared" si="14"/>
        <v>1146689.1312630002</v>
      </c>
      <c r="L131" s="62">
        <f t="shared" si="14"/>
        <v>0</v>
      </c>
      <c r="M131" s="62">
        <f t="shared" si="14"/>
        <v>120339.6</v>
      </c>
      <c r="N131" s="62">
        <f t="shared" si="14"/>
        <v>6193.95</v>
      </c>
      <c r="O131" s="62">
        <f t="shared" si="14"/>
        <v>20568.082588148867</v>
      </c>
      <c r="P131" s="62">
        <f t="shared" si="14"/>
        <v>246213.00516858854</v>
      </c>
      <c r="Q131" s="62">
        <f t="shared" si="14"/>
        <v>0</v>
      </c>
      <c r="R131" s="62">
        <f t="shared" si="14"/>
        <v>39765.159</v>
      </c>
      <c r="S131" s="62">
        <f t="shared" si="14"/>
        <v>371358.27224999998</v>
      </c>
      <c r="T131" s="62">
        <f t="shared" si="14"/>
        <v>457856.78399999999</v>
      </c>
      <c r="U131" s="62">
        <f t="shared" si="14"/>
        <v>0</v>
      </c>
      <c r="V131" s="62">
        <f t="shared" si="14"/>
        <v>650751.87187499995</v>
      </c>
      <c r="W131" s="62">
        <f t="shared" si="14"/>
        <v>14526627.168774741</v>
      </c>
      <c r="X131" s="62">
        <f t="shared" si="14"/>
        <v>174319.5260252968</v>
      </c>
    </row>
    <row r="132" spans="1:24" s="160" customFormat="1" ht="20.25" customHeight="1">
      <c r="A132" s="153"/>
      <c r="B132" s="152" t="s">
        <v>461</v>
      </c>
      <c r="C132" s="115">
        <v>63</v>
      </c>
      <c r="D132" s="146"/>
      <c r="E132" s="125"/>
      <c r="F132" s="62"/>
      <c r="G132" s="159"/>
      <c r="H132" s="62">
        <f>'тариф мугалим'!O89+'тариф мугалим'!Q89</f>
        <v>9544393.0476562511</v>
      </c>
      <c r="I132" s="62"/>
      <c r="J132" s="62">
        <f>H132</f>
        <v>9544393.0476562511</v>
      </c>
      <c r="K132" s="62">
        <f>J132*0.1</f>
        <v>954439.30476562516</v>
      </c>
      <c r="L132" s="62"/>
      <c r="M132" s="62"/>
      <c r="N132" s="62"/>
      <c r="O132" s="62"/>
      <c r="P132" s="62"/>
      <c r="Q132" s="62">
        <f>'тариф мугалим'!Z89+'тариф мугалим'!AA89+'тариф мугалим'!AB89+'тариф мугалим'!AC89+'тариф мугалим'!AE89+'тариф мугалим'!AF89</f>
        <v>3949707.9330468765</v>
      </c>
      <c r="R132" s="62">
        <f>'тариф мугалим'!AG89</f>
        <v>349135.54101562494</v>
      </c>
      <c r="S132" s="62">
        <f>'тариф мугалим'!AH89</f>
        <v>448738.12823437504</v>
      </c>
      <c r="T132" s="62">
        <f>'тариф мугалим'!AI89</f>
        <v>1343940.0436875001</v>
      </c>
      <c r="U132" s="62">
        <f>'[1]тариф мугалим'!AJ89+'тариф мугалим'!AK89</f>
        <v>425369.51625000004</v>
      </c>
      <c r="V132" s="62"/>
      <c r="W132" s="227">
        <f>SUM(J132:V132)</f>
        <v>17015723.514656253</v>
      </c>
      <c r="X132" s="227">
        <f t="shared" si="11"/>
        <v>204188.68217587503</v>
      </c>
    </row>
    <row r="133" spans="1:24" ht="13.5" customHeight="1">
      <c r="A133" s="228"/>
      <c r="B133" s="152" t="s">
        <v>71</v>
      </c>
      <c r="C133" s="229">
        <f>C131+C132</f>
        <v>179.5</v>
      </c>
      <c r="D133" s="228"/>
      <c r="E133" s="230"/>
      <c r="F133" s="231"/>
      <c r="G133" s="228"/>
      <c r="H133" s="232">
        <f>H131+H132</f>
        <v>21011284.360286258</v>
      </c>
      <c r="I133" s="232">
        <f t="shared" ref="I133:X133" si="15">I131+I132</f>
        <v>0</v>
      </c>
      <c r="J133" s="232">
        <f t="shared" si="15"/>
        <v>21011284.360286258</v>
      </c>
      <c r="K133" s="232">
        <f t="shared" si="15"/>
        <v>2101128.4360286254</v>
      </c>
      <c r="L133" s="232">
        <f t="shared" si="15"/>
        <v>0</v>
      </c>
      <c r="M133" s="232">
        <f t="shared" si="15"/>
        <v>120339.6</v>
      </c>
      <c r="N133" s="232">
        <f t="shared" si="15"/>
        <v>6193.95</v>
      </c>
      <c r="O133" s="232">
        <f t="shared" si="15"/>
        <v>20568.082588148867</v>
      </c>
      <c r="P133" s="232">
        <f t="shared" si="15"/>
        <v>246213.00516858854</v>
      </c>
      <c r="Q133" s="232">
        <f t="shared" si="15"/>
        <v>3949707.9330468765</v>
      </c>
      <c r="R133" s="232">
        <f t="shared" si="15"/>
        <v>388900.70001562493</v>
      </c>
      <c r="S133" s="232">
        <f t="shared" si="15"/>
        <v>820096.40048437496</v>
      </c>
      <c r="T133" s="232">
        <f t="shared" si="15"/>
        <v>1801796.8276875</v>
      </c>
      <c r="U133" s="232">
        <f t="shared" si="15"/>
        <v>425369.51625000004</v>
      </c>
      <c r="V133" s="232">
        <f t="shared" si="15"/>
        <v>650751.87187499995</v>
      </c>
      <c r="W133" s="232">
        <f t="shared" si="15"/>
        <v>31542350.683430992</v>
      </c>
      <c r="X133" s="232">
        <f t="shared" si="15"/>
        <v>378508.20820117183</v>
      </c>
    </row>
    <row r="134" spans="1:24" ht="28.5" customHeight="1">
      <c r="B134" s="233" t="s">
        <v>462</v>
      </c>
      <c r="X134" s="109">
        <f>'ШТАТ АУП 2022'!AB132+'тариф мугалим'!AM89</f>
        <v>378508.20820117183</v>
      </c>
    </row>
    <row r="135" spans="1:24" ht="28.5" customHeight="1"/>
    <row r="136" spans="1:24" ht="28.5" customHeight="1">
      <c r="D136" s="117"/>
    </row>
  </sheetData>
  <mergeCells count="15">
    <mergeCell ref="A9:X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Q10"/>
    <mergeCell ref="R10:V10"/>
    <mergeCell ref="W10:W11"/>
    <mergeCell ref="X10:X11"/>
  </mergeCells>
  <pageMargins left="0" right="0.11811023622047245" top="0" bottom="0" header="0.31496062992125984" footer="0"/>
  <pageSetup paperSize="9" scale="7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O22"/>
  <sheetViews>
    <sheetView zoomScale="40" zoomScaleNormal="40" zoomScaleSheetLayoutView="55" workbookViewId="0">
      <pane ySplit="12" topLeftCell="A13" activePane="bottomLeft" state="frozen"/>
      <selection pane="bottomLeft" activeCell="J19" sqref="J19"/>
    </sheetView>
  </sheetViews>
  <sheetFormatPr defaultColWidth="16.42578125" defaultRowHeight="15"/>
  <cols>
    <col min="1" max="1" width="7.28515625" style="294" customWidth="1"/>
    <col min="2" max="2" width="35.42578125" style="295" customWidth="1"/>
    <col min="3" max="3" width="16.42578125" style="295" customWidth="1"/>
    <col min="4" max="4" width="10" style="294" customWidth="1"/>
    <col min="5" max="5" width="9.5703125" style="296" customWidth="1"/>
    <col min="6" max="6" width="9.140625" style="297" customWidth="1"/>
    <col min="7" max="7" width="8.42578125" style="298" customWidth="1"/>
    <col min="8" max="8" width="11.28515625" style="299" customWidth="1"/>
    <col min="9" max="9" width="8.5703125" style="300" customWidth="1"/>
    <col min="10" max="10" width="10.28515625" style="299" customWidth="1"/>
    <col min="11" max="11" width="10" style="294" customWidth="1"/>
    <col min="12" max="12" width="9.7109375" style="294" customWidth="1"/>
    <col min="13" max="13" width="14" style="299" customWidth="1"/>
    <col min="14" max="14" width="8.140625" style="294" customWidth="1"/>
    <col min="15" max="15" width="13.85546875" style="299" customWidth="1"/>
    <col min="16" max="16" width="9.140625" style="294" customWidth="1"/>
    <col min="17" max="17" width="13.7109375" style="299" customWidth="1"/>
    <col min="18" max="18" width="14.140625" style="294" customWidth="1"/>
    <col min="19" max="19" width="14.5703125" style="299" customWidth="1"/>
    <col min="20" max="20" width="14.42578125" style="301" customWidth="1"/>
    <col min="21" max="21" width="7" style="294" customWidth="1"/>
    <col min="22" max="22" width="11.140625" style="299" customWidth="1"/>
    <col min="23" max="23" width="7.28515625" style="302" customWidth="1"/>
    <col min="24" max="24" width="10.7109375" style="299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9" customWidth="1"/>
    <col min="29" max="29" width="13.28515625" style="299" customWidth="1"/>
    <col min="30" max="30" width="11" style="299" customWidth="1"/>
    <col min="31" max="31" width="14" style="294" customWidth="1"/>
    <col min="32" max="32" width="9.140625" style="294" customWidth="1"/>
    <col min="33" max="34" width="10.140625" style="294" customWidth="1"/>
    <col min="35" max="35" width="14.140625" style="294" customWidth="1"/>
    <col min="36" max="37" width="14" style="294" customWidth="1"/>
    <col min="38" max="38" width="8.85546875" style="294" customWidth="1"/>
    <col min="39" max="39" width="14.140625" style="299" customWidth="1"/>
    <col min="40" max="40" width="14" style="299" customWidth="1"/>
    <col min="41" max="16384" width="16.42578125" style="294"/>
  </cols>
  <sheetData>
    <row r="1" spans="1:41" s="245" customFormat="1" ht="18.75" customHeight="1">
      <c r="A1" s="241" t="s">
        <v>617</v>
      </c>
      <c r="C1" s="429"/>
      <c r="D1" s="429"/>
      <c r="E1" s="429"/>
      <c r="F1" s="429"/>
      <c r="G1" s="429"/>
      <c r="H1" s="429"/>
      <c r="I1" s="429"/>
      <c r="J1" s="430"/>
      <c r="K1" s="431"/>
      <c r="L1" s="431"/>
      <c r="M1" s="431"/>
      <c r="N1" s="431"/>
      <c r="R1" s="432" t="s">
        <v>571</v>
      </c>
      <c r="S1" s="431"/>
      <c r="T1" s="431"/>
      <c r="U1" s="431"/>
      <c r="V1" s="431"/>
      <c r="W1" s="431"/>
      <c r="X1" s="431"/>
      <c r="Y1" s="6"/>
      <c r="Z1" s="6"/>
      <c r="AA1" s="6"/>
      <c r="AB1" s="237"/>
      <c r="AC1" s="237"/>
      <c r="AD1" s="237"/>
      <c r="AE1" s="237"/>
      <c r="AF1" s="237"/>
      <c r="AK1" s="240"/>
      <c r="AL1" s="240"/>
      <c r="AM1" s="242"/>
      <c r="AN1" s="242"/>
      <c r="AO1" s="243"/>
    </row>
    <row r="2" spans="1:41" s="245" customFormat="1" ht="18" customHeight="1">
      <c r="A2" s="236" t="s">
        <v>572</v>
      </c>
      <c r="C2" s="429"/>
      <c r="D2" s="429"/>
      <c r="E2" s="429"/>
      <c r="F2" s="429"/>
      <c r="G2" s="429"/>
      <c r="H2" s="429"/>
      <c r="I2" s="429"/>
      <c r="J2" s="430"/>
      <c r="K2" s="431"/>
      <c r="L2" s="431"/>
      <c r="M2" s="431"/>
      <c r="N2" s="431"/>
      <c r="R2" s="428" t="s">
        <v>572</v>
      </c>
      <c r="S2" s="431"/>
      <c r="T2" s="431"/>
      <c r="U2" s="431"/>
      <c r="V2" s="431"/>
      <c r="W2" s="431"/>
      <c r="X2" s="431"/>
      <c r="Y2" s="6"/>
      <c r="Z2" s="6"/>
      <c r="AA2" s="6"/>
      <c r="AB2" s="237"/>
      <c r="AC2" s="237"/>
      <c r="AD2" s="237"/>
      <c r="AE2" s="237"/>
      <c r="AF2" s="237"/>
      <c r="AK2" s="240"/>
      <c r="AL2" s="240"/>
      <c r="AM2" s="242"/>
      <c r="AN2" s="242"/>
      <c r="AO2" s="243"/>
    </row>
    <row r="3" spans="1:41" s="245" customFormat="1" ht="18" customHeight="1">
      <c r="A3" s="241" t="s">
        <v>656</v>
      </c>
      <c r="C3" s="429"/>
      <c r="D3" s="429"/>
      <c r="E3" s="429"/>
      <c r="F3" s="429"/>
      <c r="G3" s="429"/>
      <c r="H3" s="429"/>
      <c r="I3" s="429"/>
      <c r="J3" s="430"/>
      <c r="K3" s="431"/>
      <c r="L3" s="431"/>
      <c r="M3" s="431"/>
      <c r="N3" s="431"/>
      <c r="R3" s="432" t="s">
        <v>632</v>
      </c>
      <c r="S3" s="431"/>
      <c r="T3" s="431"/>
      <c r="U3" s="431"/>
      <c r="V3" s="431"/>
      <c r="W3" s="431"/>
      <c r="X3" s="431"/>
      <c r="Y3" s="6"/>
      <c r="Z3" s="6"/>
      <c r="AA3" s="6"/>
      <c r="AB3" s="237"/>
      <c r="AC3" s="237"/>
      <c r="AD3" s="237"/>
      <c r="AE3" s="237"/>
      <c r="AF3" s="237"/>
      <c r="AK3" s="237"/>
      <c r="AL3" s="237"/>
      <c r="AM3" s="250"/>
      <c r="AN3" s="250"/>
      <c r="AO3" s="251"/>
    </row>
    <row r="4" spans="1:41" s="245" customFormat="1" ht="19.5" customHeight="1">
      <c r="A4" s="241" t="s">
        <v>633</v>
      </c>
      <c r="C4" s="429"/>
      <c r="D4" s="429"/>
      <c r="E4" s="429"/>
      <c r="F4" s="429"/>
      <c r="G4" s="429"/>
      <c r="H4" s="429"/>
      <c r="I4" s="429"/>
      <c r="J4" s="430"/>
      <c r="K4" s="431"/>
      <c r="L4" s="431"/>
      <c r="M4" s="431"/>
      <c r="N4" s="431"/>
      <c r="R4" s="432" t="s">
        <v>635</v>
      </c>
      <c r="S4" s="431"/>
      <c r="T4" s="431"/>
      <c r="U4" s="431"/>
      <c r="V4" s="431"/>
      <c r="W4" s="431"/>
      <c r="X4" s="431"/>
      <c r="Y4" s="6"/>
      <c r="Z4" s="6"/>
      <c r="AA4" s="6"/>
      <c r="AB4" s="237"/>
      <c r="AC4" s="237"/>
      <c r="AD4" s="237"/>
      <c r="AE4" s="237"/>
      <c r="AF4" s="237"/>
      <c r="AK4" s="237"/>
      <c r="AL4" s="237"/>
      <c r="AM4" s="253"/>
      <c r="AN4" s="254"/>
    </row>
    <row r="5" spans="1:41" s="245" customFormat="1" ht="14.25" customHeight="1">
      <c r="A5" s="429"/>
      <c r="B5" s="429"/>
      <c r="C5" s="429"/>
      <c r="D5" s="429"/>
      <c r="E5" s="429"/>
      <c r="F5" s="429"/>
      <c r="G5" s="429"/>
      <c r="H5" s="429"/>
      <c r="I5" s="429"/>
      <c r="J5" s="430"/>
      <c r="K5" s="431"/>
      <c r="L5" s="431"/>
      <c r="M5" s="431"/>
      <c r="N5" s="431"/>
      <c r="R5" s="432" t="s">
        <v>677</v>
      </c>
      <c r="S5" s="431"/>
      <c r="T5" s="431"/>
      <c r="U5" s="431"/>
      <c r="V5" s="431"/>
      <c r="W5" s="431"/>
      <c r="X5" s="431"/>
      <c r="Y5" s="6"/>
      <c r="Z5" s="6"/>
      <c r="AA5" s="6"/>
      <c r="AB5" s="237"/>
      <c r="AC5" s="237"/>
      <c r="AD5" s="237"/>
      <c r="AE5" s="237"/>
      <c r="AF5" s="237"/>
      <c r="AK5" s="237"/>
      <c r="AL5" s="237"/>
      <c r="AM5" s="256"/>
      <c r="AN5" s="254"/>
    </row>
    <row r="6" spans="1:41" s="245" customFormat="1" ht="9.75" customHeight="1">
      <c r="A6" s="446"/>
      <c r="B6" s="430"/>
      <c r="C6" s="446"/>
      <c r="D6" s="447"/>
      <c r="E6" s="447"/>
      <c r="F6" s="447"/>
      <c r="G6" s="448"/>
      <c r="H6" s="449"/>
      <c r="I6" s="443"/>
      <c r="J6" s="437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31"/>
      <c r="V6" s="431"/>
      <c r="W6" s="431"/>
      <c r="X6" s="431"/>
      <c r="Y6" s="6"/>
      <c r="Z6" s="6"/>
      <c r="AA6" s="6"/>
      <c r="AB6" s="237"/>
      <c r="AC6" s="237"/>
      <c r="AD6" s="237"/>
      <c r="AE6" s="237"/>
      <c r="AF6" s="261"/>
      <c r="AG6" s="261"/>
      <c r="AH6" s="261"/>
      <c r="AI6" s="261"/>
      <c r="AJ6" s="261"/>
      <c r="AK6" s="261"/>
      <c r="AL6" s="261"/>
      <c r="AM6" s="256"/>
      <c r="AN6" s="254"/>
    </row>
    <row r="7" spans="1:41" s="245" customFormat="1" ht="32.25" customHeight="1">
      <c r="A7" s="596" t="s">
        <v>678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</row>
    <row r="8" spans="1:41" s="245" customFormat="1" ht="14.25" customHeight="1">
      <c r="A8" s="265"/>
      <c r="B8" s="156"/>
      <c r="C8" s="156"/>
      <c r="D8" s="265"/>
      <c r="E8" s="265"/>
      <c r="F8" s="266"/>
      <c r="G8" s="267"/>
      <c r="H8" s="268"/>
      <c r="I8" s="265"/>
      <c r="J8" s="269"/>
      <c r="K8" s="270"/>
      <c r="L8" s="270"/>
      <c r="M8" s="269"/>
      <c r="N8" s="270"/>
      <c r="O8" s="271"/>
      <c r="P8" s="270"/>
      <c r="Q8" s="271"/>
      <c r="R8" s="270"/>
      <c r="S8" s="269"/>
      <c r="T8" s="270"/>
      <c r="U8" s="270"/>
      <c r="V8" s="269"/>
      <c r="W8" s="272"/>
      <c r="X8" s="269"/>
      <c r="Y8" s="314"/>
      <c r="Z8" s="315"/>
      <c r="AA8" s="316"/>
      <c r="AB8" s="269"/>
      <c r="AC8" s="269"/>
      <c r="AD8" s="269"/>
      <c r="AE8" s="270"/>
      <c r="AF8" s="590"/>
      <c r="AG8" s="590"/>
      <c r="AH8" s="590"/>
      <c r="AI8" s="590"/>
      <c r="AJ8" s="590"/>
      <c r="AK8" s="590"/>
      <c r="AL8" s="590"/>
      <c r="AM8" s="590"/>
      <c r="AN8" s="254"/>
    </row>
    <row r="9" spans="1:41" s="22" customFormat="1" ht="16.5" customHeight="1">
      <c r="A9" s="556" t="s">
        <v>22</v>
      </c>
      <c r="B9" s="556" t="s">
        <v>23</v>
      </c>
      <c r="C9" s="556" t="s">
        <v>24</v>
      </c>
      <c r="D9" s="591" t="s">
        <v>25</v>
      </c>
      <c r="E9" s="591" t="s">
        <v>35</v>
      </c>
      <c r="F9" s="592" t="s">
        <v>26</v>
      </c>
      <c r="G9" s="591" t="s">
        <v>27</v>
      </c>
      <c r="H9" s="555" t="s">
        <v>58</v>
      </c>
      <c r="I9" s="551" t="s">
        <v>57</v>
      </c>
      <c r="J9" s="555" t="s">
        <v>53</v>
      </c>
      <c r="K9" s="591" t="s">
        <v>28</v>
      </c>
      <c r="L9" s="578" t="s">
        <v>29</v>
      </c>
      <c r="M9" s="579"/>
      <c r="N9" s="579"/>
      <c r="O9" s="579"/>
      <c r="P9" s="579"/>
      <c r="Q9" s="580"/>
      <c r="R9" s="565" t="s">
        <v>60</v>
      </c>
      <c r="S9" s="568" t="s">
        <v>42</v>
      </c>
      <c r="T9" s="571">
        <v>0.1</v>
      </c>
      <c r="U9" s="572" t="s">
        <v>472</v>
      </c>
      <c r="V9" s="573"/>
      <c r="W9" s="573"/>
      <c r="X9" s="574"/>
      <c r="Y9" s="575" t="s">
        <v>474</v>
      </c>
      <c r="Z9" s="575"/>
      <c r="AA9" s="575"/>
      <c r="AB9" s="561"/>
      <c r="AC9" s="557" t="s">
        <v>475</v>
      </c>
      <c r="AD9" s="557" t="s">
        <v>477</v>
      </c>
      <c r="AE9" s="558" t="s">
        <v>65</v>
      </c>
      <c r="AF9" s="560" t="s">
        <v>621</v>
      </c>
      <c r="AG9" s="561"/>
      <c r="AH9" s="564" t="s">
        <v>476</v>
      </c>
      <c r="AI9" s="564" t="s">
        <v>44</v>
      </c>
      <c r="AJ9" s="564"/>
      <c r="AK9" s="564"/>
      <c r="AL9" s="564"/>
      <c r="AM9" s="555" t="s">
        <v>66</v>
      </c>
      <c r="AN9" s="555" t="s">
        <v>67</v>
      </c>
    </row>
    <row r="10" spans="1:41" s="22" customFormat="1" ht="84.75" customHeight="1">
      <c r="A10" s="556"/>
      <c r="B10" s="556"/>
      <c r="C10" s="556"/>
      <c r="D10" s="591"/>
      <c r="E10" s="591"/>
      <c r="F10" s="592"/>
      <c r="G10" s="591"/>
      <c r="H10" s="555"/>
      <c r="I10" s="593"/>
      <c r="J10" s="555"/>
      <c r="K10" s="591"/>
      <c r="L10" s="581"/>
      <c r="M10" s="582"/>
      <c r="N10" s="582"/>
      <c r="O10" s="582"/>
      <c r="P10" s="582"/>
      <c r="Q10" s="583"/>
      <c r="R10" s="566"/>
      <c r="S10" s="569"/>
      <c r="T10" s="571"/>
      <c r="U10" s="556" t="s">
        <v>469</v>
      </c>
      <c r="V10" s="556"/>
      <c r="W10" s="556" t="s">
        <v>473</v>
      </c>
      <c r="X10" s="556"/>
      <c r="Y10" s="576"/>
      <c r="Z10" s="576"/>
      <c r="AA10" s="576"/>
      <c r="AB10" s="577"/>
      <c r="AC10" s="557"/>
      <c r="AD10" s="557"/>
      <c r="AE10" s="558"/>
      <c r="AF10" s="562"/>
      <c r="AG10" s="563"/>
      <c r="AH10" s="564"/>
      <c r="AI10" s="557" t="s">
        <v>577</v>
      </c>
      <c r="AJ10" s="557" t="s">
        <v>46</v>
      </c>
      <c r="AK10" s="557" t="s">
        <v>49</v>
      </c>
      <c r="AL10" s="557" t="s">
        <v>47</v>
      </c>
      <c r="AM10" s="555"/>
      <c r="AN10" s="555"/>
    </row>
    <row r="11" spans="1:41" s="22" customFormat="1" ht="32.25" customHeight="1">
      <c r="A11" s="556"/>
      <c r="B11" s="556"/>
      <c r="C11" s="556"/>
      <c r="D11" s="591"/>
      <c r="E11" s="591"/>
      <c r="F11" s="592"/>
      <c r="G11" s="591"/>
      <c r="H11" s="555"/>
      <c r="I11" s="552"/>
      <c r="J11" s="555"/>
      <c r="K11" s="591"/>
      <c r="L11" s="506" t="s">
        <v>470</v>
      </c>
      <c r="M11" s="503" t="s">
        <v>478</v>
      </c>
      <c r="N11" s="506" t="s">
        <v>575</v>
      </c>
      <c r="O11" s="503" t="s">
        <v>478</v>
      </c>
      <c r="P11" s="506" t="s">
        <v>576</v>
      </c>
      <c r="Q11" s="503" t="s">
        <v>478</v>
      </c>
      <c r="R11" s="567"/>
      <c r="S11" s="570"/>
      <c r="T11" s="556"/>
      <c r="U11" s="505">
        <v>0.5</v>
      </c>
      <c r="V11" s="317" t="s">
        <v>478</v>
      </c>
      <c r="W11" s="505">
        <v>0.6</v>
      </c>
      <c r="X11" s="317" t="s">
        <v>478</v>
      </c>
      <c r="Y11" s="505">
        <v>0.4</v>
      </c>
      <c r="Z11" s="317" t="s">
        <v>478</v>
      </c>
      <c r="AA11" s="505">
        <v>0.5</v>
      </c>
      <c r="AB11" s="317" t="s">
        <v>478</v>
      </c>
      <c r="AC11" s="557"/>
      <c r="AD11" s="557"/>
      <c r="AE11" s="559"/>
      <c r="AF11" s="506" t="s">
        <v>479</v>
      </c>
      <c r="AG11" s="317" t="s">
        <v>478</v>
      </c>
      <c r="AH11" s="564"/>
      <c r="AI11" s="557"/>
      <c r="AJ11" s="557"/>
      <c r="AK11" s="557"/>
      <c r="AL11" s="557"/>
      <c r="AM11" s="555"/>
      <c r="AN11" s="555"/>
    </row>
    <row r="12" spans="1:41" s="273" customFormat="1" ht="17.25" customHeight="1">
      <c r="A12" s="350"/>
      <c r="B12" s="234"/>
      <c r="C12" s="234"/>
      <c r="D12" s="350"/>
      <c r="E12" s="234"/>
      <c r="F12" s="234"/>
      <c r="G12" s="350"/>
      <c r="H12" s="234"/>
      <c r="I12" s="234"/>
      <c r="J12" s="350"/>
      <c r="K12" s="451">
        <f t="shared" ref="K12:AN12" si="0">SUM(K13:K13)</f>
        <v>0.5</v>
      </c>
      <c r="L12" s="452">
        <f t="shared" si="0"/>
        <v>0</v>
      </c>
      <c r="M12" s="451">
        <f t="shared" si="0"/>
        <v>0</v>
      </c>
      <c r="N12" s="452">
        <f t="shared" si="0"/>
        <v>8</v>
      </c>
      <c r="O12" s="451">
        <f t="shared" si="0"/>
        <v>95740.77</v>
      </c>
      <c r="P12" s="452">
        <f t="shared" si="0"/>
        <v>0</v>
      </c>
      <c r="Q12" s="451">
        <f t="shared" si="0"/>
        <v>0</v>
      </c>
      <c r="R12" s="451">
        <f t="shared" si="0"/>
        <v>23935.192500000001</v>
      </c>
      <c r="S12" s="451">
        <f t="shared" si="0"/>
        <v>119675.96250000001</v>
      </c>
      <c r="T12" s="451">
        <f t="shared" si="0"/>
        <v>11967.596250000002</v>
      </c>
      <c r="U12" s="234">
        <f t="shared" si="0"/>
        <v>0</v>
      </c>
      <c r="V12" s="235">
        <f t="shared" si="0"/>
        <v>0</v>
      </c>
      <c r="W12" s="234">
        <f t="shared" si="0"/>
        <v>0</v>
      </c>
      <c r="X12" s="235">
        <f t="shared" si="0"/>
        <v>0</v>
      </c>
      <c r="Y12" s="451">
        <f t="shared" si="0"/>
        <v>0</v>
      </c>
      <c r="Z12" s="235">
        <f t="shared" si="0"/>
        <v>0</v>
      </c>
      <c r="AA12" s="451">
        <f t="shared" si="0"/>
        <v>8</v>
      </c>
      <c r="AB12" s="235">
        <f t="shared" si="0"/>
        <v>4424.25</v>
      </c>
      <c r="AC12" s="235">
        <f t="shared" si="0"/>
        <v>0</v>
      </c>
      <c r="AD12" s="234">
        <f t="shared" si="0"/>
        <v>0</v>
      </c>
      <c r="AE12" s="451">
        <f t="shared" si="0"/>
        <v>35902.78875</v>
      </c>
      <c r="AF12" s="234">
        <f t="shared" si="0"/>
        <v>0</v>
      </c>
      <c r="AG12" s="235">
        <f t="shared" si="0"/>
        <v>0</v>
      </c>
      <c r="AH12" s="234">
        <f t="shared" si="0"/>
        <v>0</v>
      </c>
      <c r="AI12" s="451">
        <f t="shared" si="0"/>
        <v>0</v>
      </c>
      <c r="AJ12" s="451">
        <f t="shared" si="0"/>
        <v>0</v>
      </c>
      <c r="AK12" s="451">
        <f t="shared" si="0"/>
        <v>47870.385000000009</v>
      </c>
      <c r="AL12" s="234">
        <f t="shared" si="0"/>
        <v>0</v>
      </c>
      <c r="AM12" s="235">
        <f t="shared" si="0"/>
        <v>219840.98250000004</v>
      </c>
      <c r="AN12" s="235">
        <f t="shared" si="0"/>
        <v>2638091.7900000005</v>
      </c>
      <c r="AO12" s="453"/>
    </row>
    <row r="13" spans="1:41" s="245" customFormat="1" ht="17.25" customHeight="1">
      <c r="A13" s="507">
        <v>1</v>
      </c>
      <c r="B13" s="508" t="s">
        <v>676</v>
      </c>
      <c r="C13" s="508" t="s">
        <v>574</v>
      </c>
      <c r="D13" s="456" t="s">
        <v>37</v>
      </c>
      <c r="E13" s="509" t="s">
        <v>174</v>
      </c>
      <c r="F13" s="509">
        <v>28</v>
      </c>
      <c r="G13" s="458">
        <v>5.41</v>
      </c>
      <c r="H13" s="459">
        <f t="shared" ref="H13" si="1">G13*I13*J13</f>
        <v>191481.54</v>
      </c>
      <c r="I13" s="460">
        <v>2</v>
      </c>
      <c r="J13" s="507">
        <v>17697</v>
      </c>
      <c r="K13" s="461">
        <f t="shared" ref="K13" si="2">SUM(L13+N13+P13)/16</f>
        <v>0.5</v>
      </c>
      <c r="L13" s="462">
        <v>0</v>
      </c>
      <c r="M13" s="462">
        <f t="shared" ref="M13" si="3">G13*I13*J13/16*L13</f>
        <v>0</v>
      </c>
      <c r="N13" s="462">
        <v>8</v>
      </c>
      <c r="O13" s="462">
        <f t="shared" ref="O13" si="4">G13*I13*J13/16*N13</f>
        <v>95740.77</v>
      </c>
      <c r="P13" s="472">
        <v>0</v>
      </c>
      <c r="Q13" s="459">
        <f t="shared" ref="Q13" si="5">G13*I13*J13/16*P13</f>
        <v>0</v>
      </c>
      <c r="R13" s="459">
        <f t="shared" ref="R13" si="6">(M13+O13+Q13)*25%</f>
        <v>23935.192500000001</v>
      </c>
      <c r="S13" s="459">
        <f t="shared" ref="S13" si="7">M13+O13+Q13+R13</f>
        <v>119675.96250000001</v>
      </c>
      <c r="T13" s="459">
        <f t="shared" ref="T13" si="8">S13*0.1</f>
        <v>11967.596250000002</v>
      </c>
      <c r="U13" s="460"/>
      <c r="V13" s="463">
        <f t="shared" ref="V13" si="9">17697*50%*U13</f>
        <v>0</v>
      </c>
      <c r="W13" s="460"/>
      <c r="X13" s="464">
        <f t="shared" ref="X13" si="10">17697*60%*W13</f>
        <v>0</v>
      </c>
      <c r="Y13" s="460"/>
      <c r="Z13" s="459">
        <f t="shared" ref="Z13" si="11">17697*40%/16*Y13</f>
        <v>0</v>
      </c>
      <c r="AA13" s="460">
        <v>8</v>
      </c>
      <c r="AB13" s="459">
        <f t="shared" ref="AB13" si="12">17697*50%/16*AA13</f>
        <v>4424.25</v>
      </c>
      <c r="AC13" s="465"/>
      <c r="AD13" s="460"/>
      <c r="AE13" s="459">
        <f t="shared" ref="AE13" si="13">S13*0.3</f>
        <v>35902.78875</v>
      </c>
      <c r="AF13" s="460"/>
      <c r="AG13" s="464">
        <f t="shared" ref="AG13" si="14">17697*40%/16*AF13</f>
        <v>0</v>
      </c>
      <c r="AH13" s="460"/>
      <c r="AI13" s="459"/>
      <c r="AJ13" s="459"/>
      <c r="AK13" s="459">
        <f>S13*40%</f>
        <v>47870.385000000009</v>
      </c>
      <c r="AL13" s="460"/>
      <c r="AM13" s="459">
        <f t="shared" ref="AM13" si="15">S13+T13+V13+X13+Z13+AB13+AC13+AD13+AE13+AG13+AH13+AI13+AJ13+AK13+AL13</f>
        <v>219840.98250000004</v>
      </c>
      <c r="AN13" s="459">
        <f t="shared" ref="AN13" si="16">AM13*12</f>
        <v>2638091.7900000005</v>
      </c>
      <c r="AO13" s="466"/>
    </row>
    <row r="14" spans="1:41" s="274" customFormat="1" ht="17.25" customHeight="1">
      <c r="G14" s="303"/>
      <c r="H14" s="307"/>
      <c r="I14" s="306"/>
      <c r="J14" s="310"/>
      <c r="K14" s="276"/>
      <c r="M14" s="275"/>
      <c r="N14" s="277"/>
      <c r="O14" s="275"/>
      <c r="P14" s="277"/>
      <c r="Q14" s="275"/>
      <c r="S14" s="275"/>
      <c r="AM14" s="275"/>
      <c r="AN14" s="275"/>
    </row>
    <row r="15" spans="1:41" s="245" customFormat="1" ht="15.75" customHeight="1">
      <c r="A15" s="278"/>
      <c r="G15" s="303"/>
      <c r="H15" s="307"/>
      <c r="I15" s="306"/>
      <c r="J15" s="311"/>
      <c r="K15" s="237"/>
      <c r="L15" s="237"/>
      <c r="M15" s="254"/>
      <c r="N15" s="237"/>
      <c r="O15" s="254"/>
      <c r="P15" s="237"/>
      <c r="Q15" s="254"/>
      <c r="R15" s="237"/>
      <c r="S15" s="254"/>
      <c r="T15" s="237"/>
      <c r="Y15" s="353"/>
      <c r="AA15" s="352"/>
      <c r="AB15" s="243"/>
      <c r="AC15" s="243"/>
      <c r="AD15" s="275"/>
      <c r="AE15" s="275"/>
      <c r="AF15" s="275"/>
      <c r="AG15" s="275"/>
      <c r="AH15" s="278"/>
      <c r="AI15" s="278"/>
      <c r="AJ15" s="278"/>
      <c r="AK15" s="278"/>
      <c r="AL15" s="278"/>
      <c r="AM15" s="246"/>
      <c r="AN15" s="244"/>
    </row>
    <row r="16" spans="1:41" s="245" customFormat="1" ht="3" customHeight="1">
      <c r="A16" s="278"/>
      <c r="G16" s="303"/>
      <c r="H16" s="307"/>
      <c r="I16" s="306"/>
      <c r="J16" s="311"/>
      <c r="K16" s="237"/>
      <c r="L16" s="237"/>
      <c r="M16" s="254"/>
      <c r="N16" s="282"/>
      <c r="O16" s="254"/>
      <c r="P16" s="282"/>
      <c r="Q16" s="254"/>
      <c r="R16" s="237"/>
      <c r="S16" s="254"/>
      <c r="T16" s="237"/>
      <c r="Y16" s="353"/>
      <c r="AA16" s="274"/>
      <c r="AB16" s="243"/>
      <c r="AC16" s="355"/>
      <c r="AD16" s="275"/>
      <c r="AE16" s="275"/>
      <c r="AF16" s="275"/>
      <c r="AG16" s="275"/>
      <c r="AH16" s="278"/>
      <c r="AI16" s="278"/>
      <c r="AJ16" s="278"/>
      <c r="AK16" s="278"/>
      <c r="AL16" s="278"/>
      <c r="AM16" s="246"/>
      <c r="AN16" s="244"/>
    </row>
    <row r="17" spans="1:40" s="245" customFormat="1" ht="18" customHeight="1">
      <c r="A17" s="278"/>
      <c r="G17" s="303"/>
      <c r="H17" s="307"/>
      <c r="I17" s="306"/>
      <c r="J17" s="254"/>
      <c r="K17" s="283"/>
      <c r="L17" s="237"/>
      <c r="M17" s="254"/>
      <c r="N17" s="282"/>
      <c r="O17" s="254"/>
      <c r="P17" s="282"/>
      <c r="Q17" s="254"/>
      <c r="R17" s="237"/>
      <c r="S17" s="254"/>
      <c r="T17" s="237"/>
      <c r="Y17" s="353"/>
      <c r="AA17" s="352" t="s">
        <v>669</v>
      </c>
      <c r="AB17" s="243"/>
      <c r="AC17" s="243"/>
      <c r="AD17" s="275"/>
      <c r="AE17" s="275"/>
      <c r="AF17" s="246"/>
      <c r="AG17" s="246"/>
      <c r="AJ17" s="278"/>
      <c r="AK17" s="278"/>
      <c r="AL17" s="278"/>
      <c r="AM17" s="246"/>
      <c r="AN17" s="244"/>
    </row>
    <row r="18" spans="1:40" s="245" customFormat="1" ht="24" customHeight="1">
      <c r="A18" s="284"/>
      <c r="B18" s="279"/>
      <c r="C18" s="279"/>
      <c r="D18" s="237"/>
      <c r="E18" s="237"/>
      <c r="F18" s="280"/>
      <c r="G18" s="281"/>
      <c r="H18" s="254"/>
      <c r="I18" s="265"/>
      <c r="J18" s="254"/>
      <c r="K18" s="285"/>
      <c r="L18" s="237"/>
      <c r="M18" s="254"/>
      <c r="N18" s="282"/>
      <c r="O18" s="254"/>
      <c r="P18" s="282"/>
      <c r="Q18" s="254"/>
      <c r="R18" s="237"/>
      <c r="S18" s="254"/>
      <c r="T18" s="237"/>
      <c r="Y18" s="353"/>
      <c r="AB18" s="243"/>
      <c r="AC18" s="243"/>
      <c r="AD18" s="275"/>
      <c r="AE18" s="275"/>
      <c r="AF18" s="246"/>
      <c r="AG18" s="246"/>
      <c r="AJ18" s="278"/>
      <c r="AK18" s="278"/>
      <c r="AL18" s="278"/>
      <c r="AM18" s="246"/>
      <c r="AN18" s="244"/>
    </row>
    <row r="19" spans="1:40" s="245" customFormat="1" ht="16.5" customHeight="1">
      <c r="A19" s="286"/>
      <c r="B19" s="279"/>
      <c r="C19" s="279"/>
      <c r="D19" s="237"/>
      <c r="E19" s="237"/>
      <c r="F19" s="287"/>
      <c r="G19" s="281"/>
      <c r="H19" s="254"/>
      <c r="I19" s="265"/>
      <c r="J19" s="254"/>
      <c r="K19" s="285"/>
      <c r="L19" s="237"/>
      <c r="M19" s="254"/>
      <c r="N19" s="237"/>
      <c r="O19" s="254"/>
      <c r="P19" s="237"/>
      <c r="Q19" s="254"/>
      <c r="R19" s="237"/>
      <c r="S19" s="254"/>
      <c r="T19" s="237"/>
      <c r="Y19" s="353"/>
      <c r="AA19" s="352" t="s">
        <v>640</v>
      </c>
      <c r="AB19" s="244"/>
      <c r="AC19" s="2"/>
      <c r="AD19" s="48"/>
      <c r="AE19" s="41"/>
      <c r="AF19" s="244"/>
      <c r="AG19" s="244"/>
      <c r="AM19" s="244"/>
      <c r="AN19" s="244"/>
    </row>
    <row r="20" spans="1:40" s="245" customFormat="1" ht="3.75" customHeight="1">
      <c r="A20" s="286"/>
      <c r="B20" s="289"/>
      <c r="C20" s="289"/>
      <c r="E20" s="237"/>
      <c r="F20" s="287"/>
      <c r="G20" s="290"/>
      <c r="H20" s="244"/>
      <c r="I20" s="291"/>
      <c r="J20" s="244"/>
      <c r="K20" s="292"/>
      <c r="M20" s="244"/>
      <c r="O20" s="244"/>
      <c r="Q20" s="244"/>
      <c r="S20" s="244"/>
      <c r="Y20" s="353"/>
      <c r="AM20" s="244"/>
      <c r="AN20" s="244"/>
    </row>
    <row r="21" spans="1:40" s="245" customFormat="1" ht="15.75" customHeight="1">
      <c r="A21" s="286"/>
      <c r="B21" s="289"/>
      <c r="C21" s="289"/>
      <c r="E21" s="237"/>
      <c r="F21" s="287"/>
      <c r="G21" s="290"/>
      <c r="H21" s="244"/>
      <c r="I21" s="291"/>
      <c r="J21" s="244"/>
      <c r="K21" s="293"/>
      <c r="M21" s="244"/>
      <c r="O21" s="244"/>
      <c r="Q21" s="244"/>
      <c r="S21" s="244"/>
      <c r="V21" s="244"/>
      <c r="W21" s="288"/>
      <c r="Y21" s="244"/>
      <c r="AM21" s="244"/>
      <c r="AN21" s="244"/>
    </row>
    <row r="22" spans="1:40" s="245" customFormat="1" ht="15.75">
      <c r="B22" s="289"/>
      <c r="C22" s="289"/>
      <c r="E22" s="237"/>
      <c r="F22" s="280"/>
      <c r="G22" s="290"/>
      <c r="H22" s="244"/>
      <c r="I22" s="291"/>
      <c r="J22" s="244"/>
      <c r="M22" s="244"/>
      <c r="O22" s="244"/>
      <c r="Q22" s="244"/>
      <c r="S22" s="244"/>
      <c r="V22" s="244"/>
      <c r="W22" s="288"/>
      <c r="X22" s="244"/>
      <c r="Y22" s="2"/>
      <c r="Z22" s="48"/>
      <c r="AA22" s="41"/>
      <c r="AB22" s="244"/>
      <c r="AC22" s="244"/>
      <c r="AD22" s="244"/>
      <c r="AM22" s="244"/>
      <c r="AN22" s="244"/>
    </row>
  </sheetData>
  <mergeCells count="33">
    <mergeCell ref="S9:S11"/>
    <mergeCell ref="A7:X7"/>
    <mergeCell ref="AF8:AM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Q10"/>
    <mergeCell ref="R9:R11"/>
    <mergeCell ref="T9:T11"/>
    <mergeCell ref="U9:X9"/>
    <mergeCell ref="Y9:AB10"/>
    <mergeCell ref="AC9:AC11"/>
    <mergeCell ref="AD9:AD11"/>
    <mergeCell ref="AN9:AN11"/>
    <mergeCell ref="U10:V10"/>
    <mergeCell ref="W10:X10"/>
    <mergeCell ref="AI10:AI11"/>
    <mergeCell ref="AJ10:AJ11"/>
    <mergeCell ref="AK10:AK11"/>
    <mergeCell ref="AE9:AE11"/>
    <mergeCell ref="AL10:AL11"/>
    <mergeCell ref="AF9:AG10"/>
    <mergeCell ref="AH9:AH11"/>
    <mergeCell ref="AI9:AL9"/>
    <mergeCell ref="AM9:AM11"/>
  </mergeCells>
  <pageMargins left="0.27559055118110237" right="0.23622047244094491" top="0.39370078740157483" bottom="0.15748031496062992" header="0" footer="0"/>
  <pageSetup paperSize="9" scale="50" fitToWidth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M22"/>
  <sheetViews>
    <sheetView view="pageBreakPreview" zoomScale="55" zoomScaleNormal="55" zoomScaleSheetLayoutView="55" workbookViewId="0">
      <selection activeCell="K14" sqref="K14"/>
    </sheetView>
  </sheetViews>
  <sheetFormatPr defaultColWidth="6.140625" defaultRowHeight="12.75"/>
  <cols>
    <col min="1" max="1" width="6.140625" style="303" customWidth="1"/>
    <col min="2" max="2" width="20.85546875" style="304" customWidth="1"/>
    <col min="3" max="3" width="18.28515625" style="308" customWidth="1"/>
    <col min="4" max="4" width="12.5703125" style="305" customWidth="1"/>
    <col min="5" max="5" width="9.28515625" style="303" customWidth="1"/>
    <col min="6" max="6" width="9.5703125" style="303" customWidth="1"/>
    <col min="7" max="7" width="8.85546875" style="303" customWidth="1"/>
    <col min="8" max="8" width="7" style="307" customWidth="1"/>
    <col min="9" max="9" width="10.7109375" style="306" customWidth="1"/>
    <col min="10" max="10" width="8.42578125" style="303" customWidth="1"/>
    <col min="11" max="11" width="11.42578125" style="306" customWidth="1"/>
    <col min="12" max="12" width="8.85546875" style="306" hidden="1" customWidth="1"/>
    <col min="13" max="13" width="10.5703125" style="306" customWidth="1"/>
    <col min="14" max="14" width="10.28515625" style="306" customWidth="1"/>
    <col min="15" max="15" width="6.140625" style="306" hidden="1" customWidth="1"/>
    <col min="16" max="16" width="10.5703125" style="306" customWidth="1"/>
    <col min="17" max="17" width="9.5703125" style="306" customWidth="1"/>
    <col min="18" max="18" width="9.7109375" style="306" customWidth="1"/>
    <col min="19" max="19" width="10.28515625" style="306" customWidth="1"/>
    <col min="20" max="20" width="9.140625" style="306" customWidth="1"/>
    <col min="21" max="21" width="12" style="306" customWidth="1"/>
    <col min="22" max="22" width="12.28515625" style="306" customWidth="1"/>
    <col min="23" max="23" width="11.7109375" style="306" customWidth="1"/>
    <col min="24" max="24" width="12.42578125" style="306" customWidth="1"/>
    <col min="25" max="25" width="12.140625" style="306" customWidth="1"/>
    <col min="26" max="26" width="13" style="306" customWidth="1"/>
    <col min="27" max="27" width="6.140625" style="303" customWidth="1"/>
    <col min="28" max="28" width="7.28515625" style="303" bestFit="1" customWidth="1"/>
    <col min="29" max="16384" width="6.140625" style="303"/>
  </cols>
  <sheetData>
    <row r="1" spans="1:39" ht="24.75" customHeight="1">
      <c r="A1" s="241" t="s">
        <v>617</v>
      </c>
      <c r="B1" s="245"/>
      <c r="C1" s="240"/>
      <c r="D1" s="240"/>
      <c r="E1" s="254"/>
      <c r="F1" s="254"/>
      <c r="G1" s="237"/>
      <c r="H1" s="281"/>
      <c r="I1" s="237"/>
      <c r="J1" s="237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41" t="s">
        <v>571</v>
      </c>
      <c r="V1" s="237"/>
      <c r="W1" s="237"/>
      <c r="X1" s="240"/>
      <c r="Y1" s="254"/>
      <c r="Z1" s="254"/>
    </row>
    <row r="2" spans="1:39" ht="18" customHeight="1">
      <c r="A2" s="236" t="s">
        <v>572</v>
      </c>
      <c r="B2" s="245"/>
      <c r="C2" s="240"/>
      <c r="D2" s="240"/>
      <c r="E2" s="254"/>
      <c r="F2" s="254"/>
      <c r="G2" s="237"/>
      <c r="H2" s="281"/>
      <c r="I2" s="237"/>
      <c r="J2" s="237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36" t="s">
        <v>572</v>
      </c>
      <c r="V2" s="237"/>
      <c r="W2" s="237"/>
      <c r="X2" s="240"/>
      <c r="Y2" s="254"/>
      <c r="Z2" s="254"/>
    </row>
    <row r="3" spans="1:39" ht="18" customHeight="1">
      <c r="A3" s="241" t="s">
        <v>656</v>
      </c>
      <c r="B3" s="245"/>
      <c r="C3" s="237"/>
      <c r="D3" s="237"/>
      <c r="E3" s="254"/>
      <c r="F3" s="254"/>
      <c r="G3" s="237"/>
      <c r="H3" s="281"/>
      <c r="I3" s="237"/>
      <c r="J3" s="237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41" t="s">
        <v>632</v>
      </c>
      <c r="V3" s="237"/>
      <c r="W3" s="237"/>
      <c r="X3" s="237"/>
      <c r="Y3" s="254"/>
      <c r="Z3" s="254"/>
    </row>
    <row r="4" spans="1:39" ht="18" customHeight="1">
      <c r="A4" s="241" t="s">
        <v>633</v>
      </c>
      <c r="B4" s="245"/>
      <c r="C4" s="237"/>
      <c r="D4" s="237"/>
      <c r="E4" s="254"/>
      <c r="F4" s="254"/>
      <c r="G4" s="237"/>
      <c r="H4" s="281"/>
      <c r="I4" s="237"/>
      <c r="J4" s="237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41" t="s">
        <v>635</v>
      </c>
      <c r="V4" s="237"/>
      <c r="W4" s="237"/>
      <c r="X4" s="237"/>
      <c r="Y4" s="254"/>
      <c r="Z4" s="254"/>
    </row>
    <row r="5" spans="1:39" ht="35.25" customHeight="1">
      <c r="A5" s="241"/>
      <c r="B5" s="237"/>
      <c r="C5" s="237"/>
      <c r="D5" s="237"/>
      <c r="E5" s="254"/>
      <c r="F5" s="254"/>
      <c r="G5" s="237"/>
      <c r="H5" s="281"/>
      <c r="I5" s="237"/>
      <c r="J5" s="237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41" t="s">
        <v>677</v>
      </c>
      <c r="V5" s="237"/>
      <c r="W5" s="237"/>
      <c r="X5" s="237"/>
      <c r="Y5" s="254"/>
      <c r="Z5" s="254"/>
    </row>
    <row r="6" spans="1:39" ht="5.25" customHeight="1">
      <c r="A6" s="237"/>
      <c r="B6" s="156"/>
      <c r="C6" s="279"/>
      <c r="D6" s="320"/>
      <c r="E6" s="321"/>
      <c r="F6" s="254"/>
      <c r="G6" s="237"/>
      <c r="H6" s="281"/>
      <c r="I6" s="237"/>
      <c r="J6" s="237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41"/>
      <c r="V6" s="237"/>
      <c r="W6" s="237"/>
      <c r="X6" s="237"/>
      <c r="Y6" s="254"/>
      <c r="Z6" s="254"/>
    </row>
    <row r="7" spans="1:39" ht="14.25" hidden="1" customHeight="1">
      <c r="A7" s="237"/>
      <c r="B7" s="156"/>
      <c r="C7" s="279"/>
      <c r="D7" s="320"/>
      <c r="E7" s="321"/>
      <c r="F7" s="254"/>
      <c r="G7" s="237"/>
      <c r="H7" s="281"/>
      <c r="I7" s="237"/>
      <c r="J7" s="237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88"/>
      <c r="V7" s="254"/>
      <c r="W7" s="254"/>
      <c r="X7" s="254"/>
      <c r="Y7" s="254"/>
      <c r="Z7" s="254"/>
    </row>
    <row r="8" spans="1:39" ht="13.5" hidden="1" customHeight="1">
      <c r="A8" s="237"/>
      <c r="B8" s="156"/>
      <c r="C8" s="279"/>
      <c r="D8" s="320"/>
      <c r="E8" s="321"/>
      <c r="F8" s="254"/>
      <c r="G8" s="237"/>
      <c r="H8" s="281"/>
      <c r="I8" s="237"/>
      <c r="J8" s="237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88"/>
      <c r="V8" s="254"/>
      <c r="W8" s="254"/>
      <c r="X8" s="254"/>
      <c r="Y8" s="254"/>
      <c r="Z8" s="254"/>
    </row>
    <row r="9" spans="1:39" ht="39.6" customHeight="1">
      <c r="A9" s="550" t="s">
        <v>679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</row>
    <row r="10" spans="1:39" ht="12" customHeight="1">
      <c r="A10" s="237"/>
      <c r="B10" s="279"/>
      <c r="C10" s="156"/>
      <c r="D10" s="320"/>
      <c r="E10" s="237"/>
      <c r="F10" s="237"/>
      <c r="G10" s="237"/>
      <c r="H10" s="281"/>
      <c r="I10" s="254"/>
      <c r="J10" s="237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39" s="161" customFormat="1" ht="28.5" customHeight="1">
      <c r="A11" s="551" t="s">
        <v>22</v>
      </c>
      <c r="B11" s="551" t="s">
        <v>0</v>
      </c>
      <c r="C11" s="551" t="s">
        <v>1</v>
      </c>
      <c r="D11" s="551" t="s">
        <v>59</v>
      </c>
      <c r="E11" s="551" t="s">
        <v>2</v>
      </c>
      <c r="F11" s="551" t="s">
        <v>35</v>
      </c>
      <c r="G11" s="551" t="s">
        <v>36</v>
      </c>
      <c r="H11" s="553" t="s">
        <v>3</v>
      </c>
      <c r="I11" s="544" t="s">
        <v>53</v>
      </c>
      <c r="J11" s="551" t="s">
        <v>51</v>
      </c>
      <c r="K11" s="544" t="s">
        <v>4</v>
      </c>
      <c r="L11" s="544" t="s">
        <v>52</v>
      </c>
      <c r="M11" s="544" t="s">
        <v>42</v>
      </c>
      <c r="N11" s="546" t="s">
        <v>44</v>
      </c>
      <c r="O11" s="547"/>
      <c r="P11" s="547"/>
      <c r="Q11" s="547"/>
      <c r="R11" s="547"/>
      <c r="S11" s="547"/>
      <c r="T11" s="555" t="s">
        <v>44</v>
      </c>
      <c r="U11" s="555"/>
      <c r="V11" s="555"/>
      <c r="W11" s="555"/>
      <c r="X11" s="555"/>
      <c r="Y11" s="544" t="s">
        <v>66</v>
      </c>
      <c r="Z11" s="544" t="s">
        <v>67</v>
      </c>
    </row>
    <row r="12" spans="1:39" s="161" customFormat="1" ht="156" customHeight="1">
      <c r="A12" s="552"/>
      <c r="B12" s="552"/>
      <c r="C12" s="552"/>
      <c r="D12" s="552"/>
      <c r="E12" s="552"/>
      <c r="F12" s="552"/>
      <c r="G12" s="552"/>
      <c r="H12" s="554"/>
      <c r="I12" s="545"/>
      <c r="J12" s="552"/>
      <c r="K12" s="545"/>
      <c r="L12" s="545"/>
      <c r="M12" s="545"/>
      <c r="N12" s="504">
        <v>0.1</v>
      </c>
      <c r="O12" s="504" t="s">
        <v>73</v>
      </c>
      <c r="P12" s="503" t="s">
        <v>48</v>
      </c>
      <c r="Q12" s="503" t="s">
        <v>581</v>
      </c>
      <c r="R12" s="503" t="s">
        <v>55</v>
      </c>
      <c r="S12" s="503" t="s">
        <v>54</v>
      </c>
      <c r="T12" s="500" t="s">
        <v>45</v>
      </c>
      <c r="U12" s="500" t="s">
        <v>46</v>
      </c>
      <c r="V12" s="500" t="s">
        <v>49</v>
      </c>
      <c r="W12" s="500" t="s">
        <v>47</v>
      </c>
      <c r="X12" s="500" t="s">
        <v>614</v>
      </c>
      <c r="Y12" s="545"/>
      <c r="Z12" s="545"/>
    </row>
    <row r="13" spans="1:39" s="160" customFormat="1" ht="29.25" customHeight="1">
      <c r="A13" s="506"/>
      <c r="B13" s="506"/>
      <c r="C13" s="506"/>
      <c r="D13" s="502"/>
      <c r="E13" s="506">
        <f>SUM(E14:E16)</f>
        <v>3</v>
      </c>
      <c r="F13" s="506"/>
      <c r="G13" s="506"/>
      <c r="H13" s="506"/>
      <c r="I13" s="506"/>
      <c r="J13" s="506"/>
      <c r="K13" s="414">
        <f t="shared" ref="K13:Z13" si="0">SUM(K14:K16)</f>
        <v>255107.56409999999</v>
      </c>
      <c r="L13" s="414">
        <f t="shared" si="0"/>
        <v>0</v>
      </c>
      <c r="M13" s="414">
        <f t="shared" si="0"/>
        <v>0</v>
      </c>
      <c r="N13" s="414">
        <f t="shared" si="0"/>
        <v>25510.756410000002</v>
      </c>
      <c r="O13" s="414">
        <f t="shared" si="0"/>
        <v>0</v>
      </c>
      <c r="P13" s="414">
        <f t="shared" si="0"/>
        <v>0</v>
      </c>
      <c r="Q13" s="414">
        <f t="shared" si="0"/>
        <v>0</v>
      </c>
      <c r="R13" s="414">
        <f t="shared" si="0"/>
        <v>0</v>
      </c>
      <c r="S13" s="414">
        <f t="shared" si="0"/>
        <v>60528</v>
      </c>
      <c r="T13" s="414">
        <f t="shared" si="0"/>
        <v>0</v>
      </c>
      <c r="U13" s="414">
        <f t="shared" si="0"/>
        <v>0</v>
      </c>
      <c r="V13" s="414">
        <f t="shared" si="0"/>
        <v>0</v>
      </c>
      <c r="W13" s="414">
        <f t="shared" si="0"/>
        <v>0</v>
      </c>
      <c r="X13" s="414">
        <f t="shared" si="0"/>
        <v>0</v>
      </c>
      <c r="Y13" s="414">
        <f t="shared" si="0"/>
        <v>341151.45051</v>
      </c>
      <c r="Z13" s="414">
        <f t="shared" si="0"/>
        <v>4093817.4061199999</v>
      </c>
    </row>
    <row r="14" spans="1:39" s="108" customFormat="1" ht="39" customHeight="1">
      <c r="A14" s="322">
        <v>1</v>
      </c>
      <c r="B14" s="336" t="s">
        <v>651</v>
      </c>
      <c r="C14" s="323" t="s">
        <v>495</v>
      </c>
      <c r="D14" s="501" t="s">
        <v>497</v>
      </c>
      <c r="E14" s="322">
        <v>1</v>
      </c>
      <c r="F14" s="322">
        <v>1</v>
      </c>
      <c r="G14" s="228"/>
      <c r="H14" s="322">
        <v>2.81</v>
      </c>
      <c r="I14" s="334">
        <v>17697</v>
      </c>
      <c r="J14" s="322">
        <v>1.71</v>
      </c>
      <c r="K14" s="335">
        <f t="shared" ref="K14:K16" si="1">E14*H14*I14*J14</f>
        <v>85035.854699999996</v>
      </c>
      <c r="L14" s="228"/>
      <c r="M14" s="228"/>
      <c r="N14" s="335">
        <f t="shared" ref="N14:N16" si="2">(K14+M14)*10%</f>
        <v>8503.58547</v>
      </c>
      <c r="O14" s="228"/>
      <c r="P14" s="228"/>
      <c r="Q14" s="228"/>
      <c r="R14" s="228"/>
      <c r="S14" s="322">
        <v>20176</v>
      </c>
      <c r="T14" s="228"/>
      <c r="U14" s="228"/>
      <c r="V14" s="228"/>
      <c r="W14" s="228"/>
      <c r="X14" s="228"/>
      <c r="Y14" s="335">
        <f t="shared" ref="Y14:Y16" si="3">SUM(J14:X14)</f>
        <v>113717.15017000001</v>
      </c>
      <c r="Z14" s="335">
        <f t="shared" ref="Z14:Z16" si="4">Y14*12</f>
        <v>1364605.80204</v>
      </c>
    </row>
    <row r="15" spans="1:39" ht="39" customHeight="1">
      <c r="A15" s="322">
        <v>2</v>
      </c>
      <c r="B15" s="336" t="s">
        <v>651</v>
      </c>
      <c r="C15" s="323" t="s">
        <v>495</v>
      </c>
      <c r="D15" s="501" t="s">
        <v>497</v>
      </c>
      <c r="E15" s="322">
        <v>1</v>
      </c>
      <c r="F15" s="322">
        <v>1</v>
      </c>
      <c r="G15" s="405"/>
      <c r="H15" s="322">
        <v>2.81</v>
      </c>
      <c r="I15" s="334">
        <v>17697</v>
      </c>
      <c r="J15" s="322">
        <v>1.71</v>
      </c>
      <c r="K15" s="335">
        <f t="shared" si="1"/>
        <v>85035.854699999996</v>
      </c>
      <c r="L15" s="406"/>
      <c r="M15" s="406"/>
      <c r="N15" s="335">
        <f t="shared" si="2"/>
        <v>8503.58547</v>
      </c>
      <c r="O15" s="406"/>
      <c r="P15" s="406"/>
      <c r="Q15" s="406"/>
      <c r="R15" s="406"/>
      <c r="S15" s="322">
        <v>20176</v>
      </c>
      <c r="T15" s="406"/>
      <c r="U15" s="406"/>
      <c r="V15" s="406"/>
      <c r="W15" s="406"/>
      <c r="X15" s="406"/>
      <c r="Y15" s="335">
        <f t="shared" si="3"/>
        <v>113717.15017000001</v>
      </c>
      <c r="Z15" s="335">
        <f t="shared" si="4"/>
        <v>1364605.80204</v>
      </c>
    </row>
    <row r="16" spans="1:39" ht="39" customHeight="1">
      <c r="A16" s="322">
        <v>3</v>
      </c>
      <c r="B16" s="336" t="s">
        <v>651</v>
      </c>
      <c r="C16" s="323" t="s">
        <v>495</v>
      </c>
      <c r="D16" s="322" t="s">
        <v>497</v>
      </c>
      <c r="E16" s="322">
        <v>1</v>
      </c>
      <c r="F16" s="322">
        <v>1</v>
      </c>
      <c r="G16" s="405"/>
      <c r="H16" s="322">
        <v>2.81</v>
      </c>
      <c r="I16" s="334">
        <v>17697</v>
      </c>
      <c r="J16" s="322">
        <v>1.71</v>
      </c>
      <c r="K16" s="335">
        <f t="shared" si="1"/>
        <v>85035.854699999996</v>
      </c>
      <c r="L16" s="406"/>
      <c r="M16" s="406"/>
      <c r="N16" s="335">
        <f t="shared" si="2"/>
        <v>8503.58547</v>
      </c>
      <c r="O16" s="406"/>
      <c r="P16" s="406"/>
      <c r="Q16" s="406"/>
      <c r="R16" s="406"/>
      <c r="S16" s="322">
        <v>20176</v>
      </c>
      <c r="T16" s="406"/>
      <c r="U16" s="406"/>
      <c r="V16" s="406"/>
      <c r="W16" s="406"/>
      <c r="X16" s="406"/>
      <c r="Y16" s="335">
        <f t="shared" si="3"/>
        <v>113717.15017000001</v>
      </c>
      <c r="Z16" s="335">
        <f t="shared" si="4"/>
        <v>1364605.80204</v>
      </c>
    </row>
    <row r="17" spans="1:39" ht="24" customHeight="1">
      <c r="A17" s="347"/>
      <c r="B17" s="410"/>
      <c r="C17" s="411"/>
      <c r="D17" s="347"/>
      <c r="E17" s="347"/>
      <c r="F17" s="347"/>
      <c r="G17" s="412"/>
      <c r="H17" s="347"/>
      <c r="I17" s="408"/>
      <c r="J17" s="347"/>
      <c r="K17" s="409"/>
      <c r="L17" s="413"/>
      <c r="M17" s="413"/>
      <c r="N17" s="409"/>
      <c r="O17" s="413"/>
      <c r="P17" s="413"/>
      <c r="Q17" s="413"/>
      <c r="R17" s="413"/>
      <c r="S17" s="347"/>
      <c r="T17" s="413"/>
      <c r="U17" s="413"/>
      <c r="V17" s="413"/>
      <c r="W17" s="413"/>
      <c r="X17" s="413"/>
      <c r="Y17" s="409"/>
      <c r="Z17" s="409"/>
    </row>
    <row r="18" spans="1:39" ht="21" customHeight="1">
      <c r="B18" s="352" t="s">
        <v>680</v>
      </c>
      <c r="C18" s="353"/>
      <c r="D18" s="354"/>
      <c r="E18" s="243"/>
      <c r="F18" s="243"/>
      <c r="G18" s="182"/>
      <c r="H18" s="190"/>
      <c r="I18" s="275"/>
      <c r="J18" s="275"/>
    </row>
    <row r="19" spans="1:39" s="306" customFormat="1" ht="22.5" customHeight="1">
      <c r="A19" s="303"/>
      <c r="B19" s="352" t="s">
        <v>641</v>
      </c>
      <c r="C19" s="353"/>
      <c r="D19" s="354"/>
      <c r="E19" s="243"/>
      <c r="F19" s="243"/>
      <c r="G19" s="20"/>
      <c r="H19" s="42"/>
      <c r="I19" s="246"/>
      <c r="J19" s="246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</row>
    <row r="20" spans="1:39" s="306" customFormat="1" ht="21.75" customHeight="1">
      <c r="A20" s="303"/>
      <c r="B20" s="352" t="s">
        <v>682</v>
      </c>
      <c r="C20" s="353"/>
      <c r="D20" s="354"/>
      <c r="E20" s="243"/>
      <c r="F20" s="243"/>
      <c r="G20" s="20"/>
      <c r="H20" s="42"/>
      <c r="I20" s="246"/>
      <c r="J20" s="246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</row>
    <row r="21" spans="1:39" s="306" customFormat="1" ht="3.75" customHeight="1">
      <c r="A21" s="303"/>
      <c r="B21" s="245"/>
      <c r="C21" s="353"/>
      <c r="D21" s="354"/>
      <c r="E21" s="243"/>
      <c r="F21" s="243"/>
      <c r="G21" s="20"/>
      <c r="H21" s="42"/>
      <c r="I21" s="246"/>
      <c r="J21" s="246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</row>
    <row r="22" spans="1:39" s="306" customFormat="1" ht="20.25">
      <c r="A22" s="303"/>
      <c r="B22" s="352" t="s">
        <v>681</v>
      </c>
      <c r="C22" s="244"/>
      <c r="D22" s="288"/>
      <c r="E22" s="244"/>
      <c r="F22" s="2"/>
      <c r="G22" s="48"/>
      <c r="H22" s="41"/>
      <c r="I22" s="244"/>
      <c r="J22" s="244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</row>
  </sheetData>
  <mergeCells count="18">
    <mergeCell ref="L11:L12"/>
    <mergeCell ref="M11:M12"/>
    <mergeCell ref="N11:S11"/>
    <mergeCell ref="T11:X11"/>
    <mergeCell ref="A9:Z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Y11:Y12"/>
    <mergeCell ref="Z11:Z12"/>
    <mergeCell ref="J11:J12"/>
    <mergeCell ref="K11:K12"/>
  </mergeCells>
  <printOptions horizontalCentered="1"/>
  <pageMargins left="0" right="0" top="0.31496062992125984" bottom="0.27559055118110237" header="0" footer="0"/>
  <pageSetup paperSize="9" scale="48" orientation="landscape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D139"/>
  <sheetViews>
    <sheetView topLeftCell="A8" zoomScale="95" zoomScaleSheetLayoutView="95" workbookViewId="0">
      <pane xSplit="4" ySplit="5" topLeftCell="E115" activePane="bottomRight" state="frozen"/>
      <selection activeCell="A8" sqref="A8"/>
      <selection pane="topRight" activeCell="E8" sqref="E8"/>
      <selection pane="bottomLeft" activeCell="A13" sqref="A13"/>
      <selection pane="bottomRight" activeCell="A8" sqref="A1:IV65536"/>
    </sheetView>
  </sheetViews>
  <sheetFormatPr defaultColWidth="6.140625" defaultRowHeight="28.5" customHeight="1"/>
  <cols>
    <col min="1" max="1" width="6.140625" style="108" customWidth="1"/>
    <col min="2" max="2" width="18.5703125" style="157" customWidth="1"/>
    <col min="3" max="3" width="18.28515625" style="158" customWidth="1"/>
    <col min="4" max="4" width="6.85546875" style="119" customWidth="1"/>
    <col min="5" max="5" width="6.140625" style="108" customWidth="1"/>
    <col min="6" max="6" width="6.85546875" style="158" customWidth="1"/>
    <col min="7" max="7" width="7.5703125" style="108" customWidth="1"/>
    <col min="8" max="8" width="7.85546875" style="108" customWidth="1"/>
    <col min="9" max="9" width="6.140625" style="120" customWidth="1"/>
    <col min="10" max="10" width="7.140625" style="109" customWidth="1"/>
    <col min="11" max="11" width="6.140625" style="108" customWidth="1"/>
    <col min="12" max="12" width="11.42578125" style="109" customWidth="1"/>
    <col min="13" max="13" width="8.85546875" style="109" hidden="1" customWidth="1"/>
    <col min="14" max="14" width="10.5703125" style="109" customWidth="1"/>
    <col min="15" max="15" width="10.28515625" style="109" customWidth="1"/>
    <col min="16" max="16" width="6.140625" style="109" hidden="1" customWidth="1"/>
    <col min="17" max="17" width="9" style="109" customWidth="1"/>
    <col min="18" max="18" width="6.140625" style="109" customWidth="1"/>
    <col min="19" max="19" width="7.85546875" style="109" customWidth="1"/>
    <col min="20" max="20" width="8.140625" style="109" customWidth="1"/>
    <col min="21" max="21" width="5" style="109" customWidth="1"/>
    <col min="22" max="22" width="7.28515625" style="109" customWidth="1"/>
    <col min="23" max="23" width="9.140625" style="109" customWidth="1"/>
    <col min="24" max="24" width="8.28515625" style="109" customWidth="1"/>
    <col min="25" max="25" width="6.140625" style="109" customWidth="1"/>
    <col min="26" max="26" width="8.85546875" style="109" customWidth="1"/>
    <col min="27" max="27" width="12.140625" style="109" customWidth="1"/>
    <col min="28" max="28" width="10.140625" style="109" customWidth="1"/>
    <col min="29" max="29" width="6.140625" style="108"/>
    <col min="30" max="30" width="7.28515625" style="108" bestFit="1" customWidth="1"/>
    <col min="31" max="16384" width="6.140625" style="108"/>
  </cols>
  <sheetData>
    <row r="1" spans="1:28" ht="14.25" customHeight="1">
      <c r="B1" s="156"/>
      <c r="C1" s="157"/>
      <c r="E1" s="107"/>
      <c r="G1" s="109"/>
      <c r="J1" s="108"/>
      <c r="W1" s="86" t="s">
        <v>9</v>
      </c>
    </row>
    <row r="2" spans="1:28" ht="14.25" customHeight="1">
      <c r="B2" s="156"/>
      <c r="C2" s="157"/>
      <c r="E2" s="107"/>
      <c r="G2" s="109"/>
      <c r="J2" s="108"/>
      <c r="W2" s="87" t="s">
        <v>38</v>
      </c>
    </row>
    <row r="3" spans="1:28" ht="14.25" customHeight="1">
      <c r="B3" s="156"/>
      <c r="C3" s="157"/>
      <c r="E3" s="107"/>
      <c r="G3" s="109"/>
      <c r="J3" s="108"/>
      <c r="W3" s="86" t="s">
        <v>331</v>
      </c>
    </row>
    <row r="4" spans="1:28" ht="14.25" customHeight="1">
      <c r="B4" s="156"/>
      <c r="C4" s="157"/>
      <c r="E4" s="107"/>
      <c r="G4" s="109"/>
      <c r="J4" s="108"/>
      <c r="W4" s="86" t="s">
        <v>332</v>
      </c>
    </row>
    <row r="5" spans="1:28" ht="14.25" customHeight="1">
      <c r="B5" s="156"/>
      <c r="C5" s="157"/>
      <c r="E5" s="107"/>
      <c r="G5" s="109"/>
      <c r="J5" s="108"/>
      <c r="W5" s="86" t="s">
        <v>333</v>
      </c>
    </row>
    <row r="6" spans="1:28" ht="14.25" customHeight="1">
      <c r="B6" s="156"/>
      <c r="C6" s="157"/>
      <c r="E6" s="107"/>
      <c r="G6" s="109"/>
      <c r="J6" s="108"/>
      <c r="W6" s="86" t="s">
        <v>334</v>
      </c>
    </row>
    <row r="7" spans="1:28" ht="14.25" customHeight="1">
      <c r="B7" s="156"/>
      <c r="C7" s="157"/>
      <c r="E7" s="107"/>
      <c r="G7" s="109"/>
      <c r="J7" s="108"/>
      <c r="W7" s="88" t="s">
        <v>335</v>
      </c>
    </row>
    <row r="8" spans="1:28" ht="13.5" customHeight="1">
      <c r="B8" s="156"/>
      <c r="C8" s="157"/>
      <c r="E8" s="107"/>
      <c r="G8" s="109"/>
      <c r="J8" s="108"/>
      <c r="W8" s="88"/>
    </row>
    <row r="9" spans="1:28" ht="39.6" customHeight="1">
      <c r="A9" s="510" t="s">
        <v>355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</row>
    <row r="11" spans="1:28" s="161" customFormat="1" ht="28.5" customHeight="1">
      <c r="A11" s="511" t="s">
        <v>22</v>
      </c>
      <c r="B11" s="511" t="s">
        <v>0</v>
      </c>
      <c r="C11" s="511" t="s">
        <v>1</v>
      </c>
      <c r="D11" s="511" t="s">
        <v>59</v>
      </c>
      <c r="E11" s="511" t="s">
        <v>2</v>
      </c>
      <c r="F11" s="511" t="s">
        <v>43</v>
      </c>
      <c r="G11" s="511" t="s">
        <v>35</v>
      </c>
      <c r="H11" s="511" t="s">
        <v>36</v>
      </c>
      <c r="I11" s="513" t="s">
        <v>3</v>
      </c>
      <c r="J11" s="515" t="s">
        <v>53</v>
      </c>
      <c r="K11" s="511" t="s">
        <v>51</v>
      </c>
      <c r="L11" s="517" t="s">
        <v>4</v>
      </c>
      <c r="M11" s="517" t="s">
        <v>52</v>
      </c>
      <c r="N11" s="517" t="s">
        <v>42</v>
      </c>
      <c r="O11" s="519" t="s">
        <v>44</v>
      </c>
      <c r="P11" s="520"/>
      <c r="Q11" s="520"/>
      <c r="R11" s="520"/>
      <c r="S11" s="520"/>
      <c r="T11" s="520"/>
      <c r="U11" s="520"/>
      <c r="V11" s="521" t="s">
        <v>44</v>
      </c>
      <c r="W11" s="521"/>
      <c r="X11" s="521"/>
      <c r="Y11" s="521"/>
      <c r="Z11" s="521"/>
      <c r="AA11" s="517" t="s">
        <v>66</v>
      </c>
      <c r="AB11" s="517" t="s">
        <v>67</v>
      </c>
    </row>
    <row r="12" spans="1:28" s="161" customFormat="1" ht="96" customHeight="1">
      <c r="A12" s="512"/>
      <c r="B12" s="512"/>
      <c r="C12" s="512"/>
      <c r="D12" s="512"/>
      <c r="E12" s="512"/>
      <c r="F12" s="512"/>
      <c r="G12" s="512"/>
      <c r="H12" s="512"/>
      <c r="I12" s="514"/>
      <c r="J12" s="516"/>
      <c r="K12" s="512"/>
      <c r="L12" s="518"/>
      <c r="M12" s="518"/>
      <c r="N12" s="518"/>
      <c r="O12" s="45">
        <v>0.1</v>
      </c>
      <c r="P12" s="45" t="s">
        <v>73</v>
      </c>
      <c r="Q12" s="62" t="s">
        <v>48</v>
      </c>
      <c r="R12" s="62" t="s">
        <v>356</v>
      </c>
      <c r="S12" s="62" t="s">
        <v>55</v>
      </c>
      <c r="T12" s="62" t="s">
        <v>54</v>
      </c>
      <c r="U12" s="62" t="s">
        <v>50</v>
      </c>
      <c r="V12" s="145" t="s">
        <v>45</v>
      </c>
      <c r="W12" s="145" t="s">
        <v>46</v>
      </c>
      <c r="X12" s="145" t="s">
        <v>49</v>
      </c>
      <c r="Y12" s="145" t="s">
        <v>47</v>
      </c>
      <c r="Z12" s="145" t="s">
        <v>68</v>
      </c>
      <c r="AA12" s="518"/>
      <c r="AB12" s="518"/>
    </row>
    <row r="13" spans="1:28" s="155" customFormat="1" ht="25.5">
      <c r="A13" s="84">
        <v>1</v>
      </c>
      <c r="B13" s="150" t="s">
        <v>5</v>
      </c>
      <c r="C13" s="150" t="s">
        <v>74</v>
      </c>
      <c r="D13" s="154" t="s">
        <v>37</v>
      </c>
      <c r="E13" s="84">
        <v>1</v>
      </c>
      <c r="F13" s="110"/>
      <c r="G13" s="84" t="s">
        <v>318</v>
      </c>
      <c r="H13" s="82" t="s">
        <v>359</v>
      </c>
      <c r="I13" s="121">
        <v>6.58</v>
      </c>
      <c r="J13" s="111">
        <v>17697</v>
      </c>
      <c r="K13" s="83">
        <v>1.75</v>
      </c>
      <c r="L13" s="111">
        <f t="shared" ref="L13:L131" si="0">(I13*17697*E13)*K13</f>
        <v>203780.95499999999</v>
      </c>
      <c r="M13" s="111">
        <v>0</v>
      </c>
      <c r="N13" s="111">
        <f>L13+M13</f>
        <v>203780.95499999999</v>
      </c>
      <c r="O13" s="111">
        <f>N13*10%</f>
        <v>20378.095499999999</v>
      </c>
      <c r="P13" s="111"/>
      <c r="Q13" s="162"/>
      <c r="R13" s="162"/>
      <c r="S13" s="112"/>
      <c r="T13" s="162"/>
      <c r="U13" s="112"/>
      <c r="V13" s="112"/>
      <c r="W13" s="112"/>
      <c r="X13" s="112"/>
      <c r="Y13" s="112"/>
      <c r="Z13" s="112"/>
      <c r="AA13" s="112">
        <f>SUM(N13:Z13)</f>
        <v>224159.05049999998</v>
      </c>
      <c r="AB13" s="112">
        <f>AA13*12/1000</f>
        <v>2689.9086059999995</v>
      </c>
    </row>
    <row r="14" spans="1:28" s="155" customFormat="1" ht="51">
      <c r="A14" s="84">
        <v>2</v>
      </c>
      <c r="B14" s="150" t="s">
        <v>182</v>
      </c>
      <c r="C14" s="150" t="s">
        <v>77</v>
      </c>
      <c r="D14" s="154" t="s">
        <v>37</v>
      </c>
      <c r="E14" s="84">
        <v>1</v>
      </c>
      <c r="F14" s="110">
        <v>1</v>
      </c>
      <c r="G14" s="84" t="s">
        <v>319</v>
      </c>
      <c r="H14" s="82" t="s">
        <v>360</v>
      </c>
      <c r="I14" s="121">
        <v>6.6</v>
      </c>
      <c r="J14" s="111">
        <v>17697</v>
      </c>
      <c r="K14" s="83">
        <v>1.75</v>
      </c>
      <c r="L14" s="111">
        <f t="shared" si="0"/>
        <v>204400.35</v>
      </c>
      <c r="M14" s="111">
        <v>0</v>
      </c>
      <c r="N14" s="111">
        <f t="shared" ref="N14:N77" si="1">L14+M14</f>
        <v>204400.35</v>
      </c>
      <c r="O14" s="111">
        <f t="shared" ref="O14:O77" si="2">N14*10%</f>
        <v>20440.035000000003</v>
      </c>
      <c r="P14" s="111"/>
      <c r="Q14" s="162"/>
      <c r="R14" s="162"/>
      <c r="S14" s="112"/>
      <c r="T14" s="162"/>
      <c r="U14" s="112"/>
      <c r="V14" s="112"/>
      <c r="W14" s="112"/>
      <c r="X14" s="112"/>
      <c r="Y14" s="112"/>
      <c r="Z14" s="112">
        <f>N14</f>
        <v>204400.35</v>
      </c>
      <c r="AA14" s="112">
        <f t="shared" ref="AA14:AA77" si="3">SUM(N14:Z14)</f>
        <v>429240.73499999999</v>
      </c>
      <c r="AB14" s="112">
        <f t="shared" ref="AB14:AB77" si="4">AA14*12/1000</f>
        <v>5150.8888200000001</v>
      </c>
    </row>
    <row r="15" spans="1:28" s="155" customFormat="1" ht="25.5">
      <c r="A15" s="84">
        <v>3</v>
      </c>
      <c r="B15" s="150" t="s">
        <v>183</v>
      </c>
      <c r="C15" s="150" t="s">
        <v>75</v>
      </c>
      <c r="D15" s="154" t="s">
        <v>37</v>
      </c>
      <c r="E15" s="84">
        <v>1</v>
      </c>
      <c r="F15" s="110">
        <v>1</v>
      </c>
      <c r="G15" s="84" t="s">
        <v>319</v>
      </c>
      <c r="H15" s="82" t="s">
        <v>361</v>
      </c>
      <c r="I15" s="121">
        <v>6.25</v>
      </c>
      <c r="J15" s="111">
        <v>17697</v>
      </c>
      <c r="K15" s="83">
        <v>1.75</v>
      </c>
      <c r="L15" s="111">
        <f t="shared" si="0"/>
        <v>193560.9375</v>
      </c>
      <c r="M15" s="111">
        <v>0</v>
      </c>
      <c r="N15" s="111">
        <f t="shared" si="1"/>
        <v>193560.9375</v>
      </c>
      <c r="O15" s="111">
        <f t="shared" si="2"/>
        <v>19356.09375</v>
      </c>
      <c r="P15" s="111"/>
      <c r="Q15" s="162"/>
      <c r="R15" s="162"/>
      <c r="S15" s="112"/>
      <c r="T15" s="162"/>
      <c r="U15" s="112"/>
      <c r="V15" s="112"/>
      <c r="W15" s="112"/>
      <c r="X15" s="112"/>
      <c r="Y15" s="112"/>
      <c r="Z15" s="112">
        <f>N15</f>
        <v>193560.9375</v>
      </c>
      <c r="AA15" s="112">
        <f t="shared" si="3"/>
        <v>406477.96875</v>
      </c>
      <c r="AB15" s="112">
        <f t="shared" si="4"/>
        <v>4877.7356250000003</v>
      </c>
    </row>
    <row r="16" spans="1:28" s="155" customFormat="1" ht="38.25">
      <c r="A16" s="84">
        <v>4</v>
      </c>
      <c r="B16" s="71" t="s">
        <v>184</v>
      </c>
      <c r="C16" s="150" t="s">
        <v>185</v>
      </c>
      <c r="D16" s="154" t="s">
        <v>37</v>
      </c>
      <c r="E16" s="84">
        <v>1</v>
      </c>
      <c r="F16" s="110"/>
      <c r="G16" s="148" t="s">
        <v>319</v>
      </c>
      <c r="H16" s="82" t="s">
        <v>362</v>
      </c>
      <c r="I16" s="122">
        <v>6.08</v>
      </c>
      <c r="J16" s="111">
        <v>17697</v>
      </c>
      <c r="K16" s="83">
        <v>1.75</v>
      </c>
      <c r="L16" s="111">
        <f t="shared" si="0"/>
        <v>188296.08</v>
      </c>
      <c r="M16" s="111">
        <v>0</v>
      </c>
      <c r="N16" s="111">
        <f t="shared" si="1"/>
        <v>188296.08</v>
      </c>
      <c r="O16" s="111">
        <f t="shared" si="2"/>
        <v>18829.608</v>
      </c>
      <c r="P16" s="111"/>
      <c r="Q16" s="162"/>
      <c r="R16" s="162"/>
      <c r="S16" s="112"/>
      <c r="T16" s="162"/>
      <c r="U16" s="112"/>
      <c r="V16" s="112"/>
      <c r="W16" s="112"/>
      <c r="X16" s="112"/>
      <c r="Y16" s="112"/>
      <c r="Z16" s="112"/>
      <c r="AA16" s="112">
        <f t="shared" si="3"/>
        <v>207125.68799999999</v>
      </c>
      <c r="AB16" s="112">
        <f t="shared" si="4"/>
        <v>2485.5082560000001</v>
      </c>
    </row>
    <row r="17" spans="1:28" s="155" customFormat="1" ht="25.5">
      <c r="A17" s="84">
        <v>5</v>
      </c>
      <c r="B17" s="150" t="s">
        <v>186</v>
      </c>
      <c r="C17" s="150" t="s">
        <v>187</v>
      </c>
      <c r="D17" s="154" t="s">
        <v>37</v>
      </c>
      <c r="E17" s="84">
        <v>1</v>
      </c>
      <c r="F17" s="110">
        <v>1</v>
      </c>
      <c r="G17" s="84" t="s">
        <v>319</v>
      </c>
      <c r="H17" s="82" t="s">
        <v>363</v>
      </c>
      <c r="I17" s="121">
        <v>6.6</v>
      </c>
      <c r="J17" s="111">
        <v>17697</v>
      </c>
      <c r="K17" s="83">
        <v>1.75</v>
      </c>
      <c r="L17" s="111">
        <f t="shared" si="0"/>
        <v>204400.35</v>
      </c>
      <c r="M17" s="111">
        <v>0</v>
      </c>
      <c r="N17" s="111">
        <f t="shared" si="1"/>
        <v>204400.35</v>
      </c>
      <c r="O17" s="111">
        <f t="shared" si="2"/>
        <v>20440.035000000003</v>
      </c>
      <c r="P17" s="111"/>
      <c r="Q17" s="162"/>
      <c r="R17" s="162"/>
      <c r="S17" s="112"/>
      <c r="T17" s="162"/>
      <c r="U17" s="112"/>
      <c r="V17" s="112"/>
      <c r="W17" s="112"/>
      <c r="X17" s="112"/>
      <c r="Y17" s="112"/>
      <c r="Z17" s="112">
        <f>N17</f>
        <v>204400.35</v>
      </c>
      <c r="AA17" s="112">
        <f t="shared" si="3"/>
        <v>429240.73499999999</v>
      </c>
      <c r="AB17" s="112">
        <f t="shared" si="4"/>
        <v>5150.8888200000001</v>
      </c>
    </row>
    <row r="18" spans="1:28" s="155" customFormat="1" ht="25.5">
      <c r="A18" s="84">
        <v>6</v>
      </c>
      <c r="B18" s="150" t="s">
        <v>183</v>
      </c>
      <c r="C18" s="150" t="s">
        <v>188</v>
      </c>
      <c r="D18" s="154" t="s">
        <v>37</v>
      </c>
      <c r="E18" s="84">
        <v>0.5</v>
      </c>
      <c r="F18" s="110">
        <v>2</v>
      </c>
      <c r="G18" s="84" t="s">
        <v>319</v>
      </c>
      <c r="H18" s="82" t="s">
        <v>364</v>
      </c>
      <c r="I18" s="121">
        <v>6.25</v>
      </c>
      <c r="J18" s="111">
        <v>17697</v>
      </c>
      <c r="K18" s="83">
        <v>1.75</v>
      </c>
      <c r="L18" s="111">
        <f t="shared" si="0"/>
        <v>96780.46875</v>
      </c>
      <c r="M18" s="111">
        <v>0</v>
      </c>
      <c r="N18" s="111">
        <f t="shared" si="1"/>
        <v>96780.46875</v>
      </c>
      <c r="O18" s="111">
        <f t="shared" si="2"/>
        <v>9678.046875</v>
      </c>
      <c r="P18" s="111"/>
      <c r="Q18" s="162"/>
      <c r="R18" s="162"/>
      <c r="S18" s="112"/>
      <c r="T18" s="162"/>
      <c r="U18" s="112"/>
      <c r="V18" s="112"/>
      <c r="W18" s="112"/>
      <c r="X18" s="112"/>
      <c r="Y18" s="112"/>
      <c r="Z18" s="112">
        <f>N18/2</f>
        <v>48390.234375</v>
      </c>
      <c r="AA18" s="112">
        <f t="shared" si="3"/>
        <v>154848.75</v>
      </c>
      <c r="AB18" s="112">
        <f t="shared" si="4"/>
        <v>1858.1849999999999</v>
      </c>
    </row>
    <row r="19" spans="1:28" s="155" customFormat="1" ht="38.25">
      <c r="A19" s="84">
        <v>7</v>
      </c>
      <c r="B19" s="150" t="s">
        <v>189</v>
      </c>
      <c r="C19" s="150" t="s">
        <v>190</v>
      </c>
      <c r="D19" s="154" t="s">
        <v>37</v>
      </c>
      <c r="E19" s="84">
        <v>1</v>
      </c>
      <c r="F19" s="110"/>
      <c r="G19" s="84" t="s">
        <v>320</v>
      </c>
      <c r="H19" s="82" t="s">
        <v>365</v>
      </c>
      <c r="I19" s="121">
        <v>5.51</v>
      </c>
      <c r="J19" s="111">
        <v>17697</v>
      </c>
      <c r="K19" s="83">
        <v>1.23</v>
      </c>
      <c r="L19" s="111">
        <f t="shared" si="0"/>
        <v>119937.8781</v>
      </c>
      <c r="M19" s="111">
        <v>0</v>
      </c>
      <c r="N19" s="111">
        <f t="shared" si="1"/>
        <v>119937.8781</v>
      </c>
      <c r="O19" s="111">
        <f t="shared" si="2"/>
        <v>11993.787810000002</v>
      </c>
      <c r="P19" s="111"/>
      <c r="Q19" s="162"/>
      <c r="R19" s="162"/>
      <c r="S19" s="112"/>
      <c r="T19" s="162"/>
      <c r="U19" s="112"/>
      <c r="V19" s="112"/>
      <c r="W19" s="112"/>
      <c r="X19" s="112"/>
      <c r="Y19" s="112"/>
      <c r="Z19" s="112"/>
      <c r="AA19" s="112">
        <f t="shared" si="3"/>
        <v>131931.66591000001</v>
      </c>
      <c r="AB19" s="112">
        <f t="shared" si="4"/>
        <v>1583.1799909200001</v>
      </c>
    </row>
    <row r="20" spans="1:28" s="155" customFormat="1" ht="25.5">
      <c r="A20" s="84">
        <v>8</v>
      </c>
      <c r="B20" s="150" t="s">
        <v>6</v>
      </c>
      <c r="C20" s="150" t="s">
        <v>191</v>
      </c>
      <c r="D20" s="154" t="s">
        <v>37</v>
      </c>
      <c r="E20" s="84">
        <v>1</v>
      </c>
      <c r="F20" s="110"/>
      <c r="G20" s="84" t="s">
        <v>320</v>
      </c>
      <c r="H20" s="82" t="s">
        <v>366</v>
      </c>
      <c r="I20" s="121">
        <v>5.98</v>
      </c>
      <c r="J20" s="111">
        <v>17697</v>
      </c>
      <c r="K20" s="83">
        <v>1.23</v>
      </c>
      <c r="L20" s="111">
        <f t="shared" si="0"/>
        <v>130168.51380000002</v>
      </c>
      <c r="M20" s="111">
        <v>0</v>
      </c>
      <c r="N20" s="111">
        <f t="shared" si="1"/>
        <v>130168.51380000002</v>
      </c>
      <c r="O20" s="111">
        <f t="shared" si="2"/>
        <v>13016.851380000002</v>
      </c>
      <c r="P20" s="111"/>
      <c r="Q20" s="162"/>
      <c r="R20" s="162"/>
      <c r="S20" s="112"/>
      <c r="T20" s="162"/>
      <c r="U20" s="112"/>
      <c r="V20" s="112"/>
      <c r="W20" s="112"/>
      <c r="X20" s="112"/>
      <c r="Y20" s="112"/>
      <c r="Z20" s="112"/>
      <c r="AA20" s="112">
        <f t="shared" si="3"/>
        <v>143185.36518000002</v>
      </c>
      <c r="AB20" s="112">
        <f t="shared" si="4"/>
        <v>1718.2243821600002</v>
      </c>
    </row>
    <row r="21" spans="1:28" s="155" customFormat="1" ht="25.5">
      <c r="A21" s="84">
        <v>9</v>
      </c>
      <c r="B21" s="150" t="s">
        <v>192</v>
      </c>
      <c r="C21" s="150" t="s">
        <v>191</v>
      </c>
      <c r="D21" s="154" t="s">
        <v>37</v>
      </c>
      <c r="E21" s="84">
        <v>0.5</v>
      </c>
      <c r="F21" s="110"/>
      <c r="G21" s="110" t="s">
        <v>321</v>
      </c>
      <c r="H21" s="165" t="s">
        <v>366</v>
      </c>
      <c r="I21" s="166">
        <v>4.6100000000000003</v>
      </c>
      <c r="J21" s="111">
        <v>17697</v>
      </c>
      <c r="K21" s="83">
        <v>1.23</v>
      </c>
      <c r="L21" s="111">
        <f t="shared" si="0"/>
        <v>50173.649550000009</v>
      </c>
      <c r="M21" s="111"/>
      <c r="N21" s="111">
        <f t="shared" si="1"/>
        <v>50173.649550000009</v>
      </c>
      <c r="O21" s="111">
        <f t="shared" si="2"/>
        <v>5017.3649550000009</v>
      </c>
      <c r="P21" s="111"/>
      <c r="Q21" s="162"/>
      <c r="R21" s="162"/>
      <c r="S21" s="112"/>
      <c r="T21" s="162"/>
      <c r="U21" s="112"/>
      <c r="V21" s="112"/>
      <c r="W21" s="112"/>
      <c r="X21" s="112"/>
      <c r="Y21" s="112"/>
      <c r="Z21" s="112"/>
      <c r="AA21" s="112">
        <f t="shared" si="3"/>
        <v>55191.014505000014</v>
      </c>
      <c r="AB21" s="112">
        <f t="shared" si="4"/>
        <v>662.29217406000009</v>
      </c>
    </row>
    <row r="22" spans="1:28" s="155" customFormat="1" ht="25.5">
      <c r="A22" s="84">
        <v>10</v>
      </c>
      <c r="B22" s="150" t="s">
        <v>192</v>
      </c>
      <c r="C22" s="150" t="s">
        <v>193</v>
      </c>
      <c r="D22" s="154" t="s">
        <v>37</v>
      </c>
      <c r="E22" s="84">
        <v>1.5</v>
      </c>
      <c r="F22" s="110"/>
      <c r="G22" s="84" t="s">
        <v>321</v>
      </c>
      <c r="H22" s="82" t="s">
        <v>367</v>
      </c>
      <c r="I22" s="121">
        <v>4.2699999999999996</v>
      </c>
      <c r="J22" s="111">
        <v>17697</v>
      </c>
      <c r="K22" s="83">
        <v>1.23</v>
      </c>
      <c r="L22" s="111">
        <f t="shared" si="0"/>
        <v>139419.62054999996</v>
      </c>
      <c r="M22" s="111"/>
      <c r="N22" s="111">
        <f t="shared" si="1"/>
        <v>139419.62054999996</v>
      </c>
      <c r="O22" s="111">
        <f t="shared" si="2"/>
        <v>13941.962054999996</v>
      </c>
      <c r="P22" s="111"/>
      <c r="Q22" s="162"/>
      <c r="R22" s="162"/>
      <c r="S22" s="112"/>
      <c r="T22" s="162"/>
      <c r="U22" s="112"/>
      <c r="V22" s="112"/>
      <c r="W22" s="112"/>
      <c r="X22" s="112"/>
      <c r="Y22" s="112"/>
      <c r="Z22" s="112"/>
      <c r="AA22" s="112">
        <f t="shared" si="3"/>
        <v>153361.58260499995</v>
      </c>
      <c r="AB22" s="112">
        <f t="shared" si="4"/>
        <v>1840.3389912599994</v>
      </c>
    </row>
    <row r="23" spans="1:28" s="155" customFormat="1" ht="25.5">
      <c r="A23" s="84">
        <v>11</v>
      </c>
      <c r="B23" s="150" t="s">
        <v>194</v>
      </c>
      <c r="C23" s="150" t="s">
        <v>141</v>
      </c>
      <c r="D23" s="154" t="s">
        <v>37</v>
      </c>
      <c r="E23" s="84">
        <v>1</v>
      </c>
      <c r="F23" s="110"/>
      <c r="G23" s="84" t="s">
        <v>322</v>
      </c>
      <c r="H23" s="82" t="s">
        <v>368</v>
      </c>
      <c r="I23" s="121">
        <v>3.68</v>
      </c>
      <c r="J23" s="111">
        <v>17697</v>
      </c>
      <c r="K23" s="83">
        <v>1.23</v>
      </c>
      <c r="L23" s="111">
        <f t="shared" si="0"/>
        <v>80103.700800000006</v>
      </c>
      <c r="M23" s="111"/>
      <c r="N23" s="111">
        <f t="shared" si="1"/>
        <v>80103.700800000006</v>
      </c>
      <c r="O23" s="111">
        <f t="shared" si="2"/>
        <v>8010.3700800000006</v>
      </c>
      <c r="P23" s="111"/>
      <c r="Q23" s="162"/>
      <c r="R23" s="162"/>
      <c r="S23" s="112"/>
      <c r="T23" s="162"/>
      <c r="U23" s="112"/>
      <c r="V23" s="112"/>
      <c r="W23" s="112"/>
      <c r="X23" s="112"/>
      <c r="Y23" s="112"/>
      <c r="Z23" s="112"/>
      <c r="AA23" s="112">
        <f t="shared" si="3"/>
        <v>88114.070880000014</v>
      </c>
      <c r="AB23" s="112">
        <f t="shared" si="4"/>
        <v>1057.3688505600001</v>
      </c>
    </row>
    <row r="24" spans="1:28" s="155" customFormat="1" ht="38.25">
      <c r="A24" s="84">
        <v>12</v>
      </c>
      <c r="B24" s="150" t="s">
        <v>195</v>
      </c>
      <c r="C24" s="150" t="s">
        <v>196</v>
      </c>
      <c r="D24" s="154" t="s">
        <v>37</v>
      </c>
      <c r="E24" s="84">
        <v>1</v>
      </c>
      <c r="F24" s="154" t="s">
        <v>37</v>
      </c>
      <c r="G24" s="84" t="s">
        <v>176</v>
      </c>
      <c r="H24" s="82" t="s">
        <v>369</v>
      </c>
      <c r="I24" s="121">
        <v>5.32</v>
      </c>
      <c r="J24" s="111">
        <v>17697</v>
      </c>
      <c r="K24" s="83">
        <v>1.75</v>
      </c>
      <c r="L24" s="111">
        <f t="shared" si="0"/>
        <v>164759.07</v>
      </c>
      <c r="M24" s="111"/>
      <c r="N24" s="111">
        <f t="shared" si="1"/>
        <v>164759.07</v>
      </c>
      <c r="O24" s="111">
        <f t="shared" si="2"/>
        <v>16475.907000000003</v>
      </c>
      <c r="P24" s="111"/>
      <c r="Q24" s="162"/>
      <c r="R24" s="162"/>
      <c r="S24" s="112"/>
      <c r="T24" s="162"/>
      <c r="U24" s="112"/>
      <c r="V24" s="112"/>
      <c r="W24" s="112"/>
      <c r="X24" s="112"/>
      <c r="Y24" s="112"/>
      <c r="Z24" s="112"/>
      <c r="AA24" s="112">
        <f t="shared" si="3"/>
        <v>181234.97700000001</v>
      </c>
      <c r="AB24" s="112">
        <f t="shared" si="4"/>
        <v>2174.8197240000004</v>
      </c>
    </row>
    <row r="25" spans="1:28" s="155" customFormat="1" ht="25.5">
      <c r="A25" s="84">
        <v>13</v>
      </c>
      <c r="B25" s="150" t="s">
        <v>197</v>
      </c>
      <c r="C25" s="150" t="s">
        <v>198</v>
      </c>
      <c r="D25" s="154" t="s">
        <v>37</v>
      </c>
      <c r="E25" s="84">
        <v>1</v>
      </c>
      <c r="F25" s="110"/>
      <c r="G25" s="84" t="s">
        <v>180</v>
      </c>
      <c r="H25" s="82" t="s">
        <v>370</v>
      </c>
      <c r="I25" s="121">
        <v>4.0999999999999996</v>
      </c>
      <c r="J25" s="111">
        <v>17697</v>
      </c>
      <c r="K25" s="83">
        <v>1.75</v>
      </c>
      <c r="L25" s="111">
        <f t="shared" si="0"/>
        <v>126975.97499999999</v>
      </c>
      <c r="M25" s="111"/>
      <c r="N25" s="111">
        <f t="shared" si="1"/>
        <v>126975.97499999999</v>
      </c>
      <c r="O25" s="111">
        <f t="shared" si="2"/>
        <v>12697.5975</v>
      </c>
      <c r="P25" s="111"/>
      <c r="Q25" s="162"/>
      <c r="R25" s="162"/>
      <c r="S25" s="112"/>
      <c r="T25" s="162"/>
      <c r="U25" s="112"/>
      <c r="V25" s="112"/>
      <c r="W25" s="112"/>
      <c r="X25" s="112"/>
      <c r="Y25" s="112"/>
      <c r="Z25" s="112"/>
      <c r="AA25" s="112">
        <f t="shared" si="3"/>
        <v>139673.57249999998</v>
      </c>
      <c r="AB25" s="112">
        <f t="shared" si="4"/>
        <v>1676.0828699999997</v>
      </c>
    </row>
    <row r="26" spans="1:28" s="155" customFormat="1" ht="25.5">
      <c r="A26" s="84">
        <v>14</v>
      </c>
      <c r="B26" s="151" t="s">
        <v>199</v>
      </c>
      <c r="C26" s="151" t="s">
        <v>200</v>
      </c>
      <c r="D26" s="154" t="s">
        <v>37</v>
      </c>
      <c r="E26" s="110">
        <v>1</v>
      </c>
      <c r="F26" s="154" t="s">
        <v>37</v>
      </c>
      <c r="G26" s="110" t="s">
        <v>323</v>
      </c>
      <c r="H26" s="82" t="s">
        <v>371</v>
      </c>
      <c r="I26" s="121">
        <v>4.55</v>
      </c>
      <c r="J26" s="111">
        <v>17697</v>
      </c>
      <c r="K26" s="83">
        <v>1.75</v>
      </c>
      <c r="L26" s="111">
        <f t="shared" si="0"/>
        <v>140912.36249999999</v>
      </c>
      <c r="M26" s="111"/>
      <c r="N26" s="111">
        <f t="shared" si="1"/>
        <v>140912.36249999999</v>
      </c>
      <c r="O26" s="111">
        <f t="shared" si="2"/>
        <v>14091.23625</v>
      </c>
      <c r="P26" s="111"/>
      <c r="Q26" s="162"/>
      <c r="R26" s="162"/>
      <c r="S26" s="112"/>
      <c r="T26" s="162"/>
      <c r="U26" s="112"/>
      <c r="V26" s="112"/>
      <c r="W26" s="112"/>
      <c r="X26" s="112"/>
      <c r="Y26" s="112"/>
      <c r="Z26" s="112"/>
      <c r="AA26" s="112">
        <f t="shared" si="3"/>
        <v>155003.59874999998</v>
      </c>
      <c r="AB26" s="112">
        <f t="shared" si="4"/>
        <v>1860.0431849999995</v>
      </c>
    </row>
    <row r="27" spans="1:28" s="155" customFormat="1" ht="25.5">
      <c r="A27" s="84">
        <v>15</v>
      </c>
      <c r="B27" s="150" t="s">
        <v>201</v>
      </c>
      <c r="C27" s="150" t="s">
        <v>202</v>
      </c>
      <c r="D27" s="154" t="s">
        <v>37</v>
      </c>
      <c r="E27" s="84">
        <v>0.5</v>
      </c>
      <c r="F27" s="154" t="s">
        <v>37</v>
      </c>
      <c r="G27" s="84" t="s">
        <v>323</v>
      </c>
      <c r="H27" s="82" t="s">
        <v>372</v>
      </c>
      <c r="I27" s="121">
        <v>4.75</v>
      </c>
      <c r="J27" s="111">
        <v>17697</v>
      </c>
      <c r="K27" s="83">
        <v>1.75</v>
      </c>
      <c r="L27" s="111">
        <f t="shared" si="0"/>
        <v>73553.15625</v>
      </c>
      <c r="M27" s="111"/>
      <c r="N27" s="111">
        <f t="shared" si="1"/>
        <v>73553.15625</v>
      </c>
      <c r="O27" s="111">
        <f t="shared" si="2"/>
        <v>7355.3156250000002</v>
      </c>
      <c r="P27" s="111"/>
      <c r="Q27" s="162"/>
      <c r="R27" s="162"/>
      <c r="S27" s="112"/>
      <c r="T27" s="162"/>
      <c r="U27" s="112"/>
      <c r="V27" s="112"/>
      <c r="W27" s="112"/>
      <c r="X27" s="112"/>
      <c r="Y27" s="112"/>
      <c r="Z27" s="112"/>
      <c r="AA27" s="112">
        <f t="shared" si="3"/>
        <v>80908.471875000003</v>
      </c>
      <c r="AB27" s="112">
        <f t="shared" si="4"/>
        <v>970.90166250000004</v>
      </c>
    </row>
    <row r="28" spans="1:28" s="155" customFormat="1" ht="25.5">
      <c r="A28" s="84">
        <v>16</v>
      </c>
      <c r="B28" s="150" t="s">
        <v>203</v>
      </c>
      <c r="C28" s="150" t="s">
        <v>202</v>
      </c>
      <c r="D28" s="154" t="s">
        <v>37</v>
      </c>
      <c r="E28" s="84">
        <v>1</v>
      </c>
      <c r="F28" s="154" t="s">
        <v>37</v>
      </c>
      <c r="G28" s="84" t="s">
        <v>323</v>
      </c>
      <c r="H28" s="82" t="s">
        <v>372</v>
      </c>
      <c r="I28" s="121">
        <v>4.75</v>
      </c>
      <c r="J28" s="111">
        <v>17697</v>
      </c>
      <c r="K28" s="83">
        <v>1.75</v>
      </c>
      <c r="L28" s="111">
        <f t="shared" si="0"/>
        <v>147106.3125</v>
      </c>
      <c r="M28" s="111"/>
      <c r="N28" s="111">
        <f t="shared" si="1"/>
        <v>147106.3125</v>
      </c>
      <c r="O28" s="111">
        <f t="shared" si="2"/>
        <v>14710.63125</v>
      </c>
      <c r="P28" s="111"/>
      <c r="Q28" s="162"/>
      <c r="R28" s="162"/>
      <c r="S28" s="112"/>
      <c r="T28" s="162"/>
      <c r="U28" s="112"/>
      <c r="V28" s="112"/>
      <c r="W28" s="112"/>
      <c r="X28" s="112"/>
      <c r="Y28" s="112"/>
      <c r="Z28" s="112"/>
      <c r="AA28" s="112">
        <f t="shared" si="3"/>
        <v>161816.94375000001</v>
      </c>
      <c r="AB28" s="112">
        <f t="shared" si="4"/>
        <v>1941.8033250000001</v>
      </c>
    </row>
    <row r="29" spans="1:28" s="155" customFormat="1" ht="38.25">
      <c r="A29" s="84">
        <v>17</v>
      </c>
      <c r="B29" s="150" t="s">
        <v>204</v>
      </c>
      <c r="C29" s="150" t="s">
        <v>205</v>
      </c>
      <c r="D29" s="154" t="s">
        <v>347</v>
      </c>
      <c r="E29" s="84">
        <v>1</v>
      </c>
      <c r="F29" s="154" t="s">
        <v>37</v>
      </c>
      <c r="G29" s="84" t="s">
        <v>176</v>
      </c>
      <c r="H29" s="82" t="s">
        <v>373</v>
      </c>
      <c r="I29" s="121">
        <v>5.99</v>
      </c>
      <c r="J29" s="111">
        <v>17697</v>
      </c>
      <c r="K29" s="83">
        <v>2.63</v>
      </c>
      <c r="L29" s="111">
        <f t="shared" si="0"/>
        <v>278793.22889999999</v>
      </c>
      <c r="M29" s="111"/>
      <c r="N29" s="111">
        <f t="shared" si="1"/>
        <v>278793.22889999999</v>
      </c>
      <c r="O29" s="111">
        <f t="shared" si="2"/>
        <v>27879.322889999999</v>
      </c>
      <c r="P29" s="111"/>
      <c r="Q29" s="162"/>
      <c r="R29" s="162"/>
      <c r="S29" s="112"/>
      <c r="T29" s="162"/>
      <c r="U29" s="112"/>
      <c r="V29" s="112"/>
      <c r="W29" s="112"/>
      <c r="X29" s="112"/>
      <c r="Y29" s="112"/>
      <c r="Z29" s="112"/>
      <c r="AA29" s="112">
        <f t="shared" si="3"/>
        <v>306672.55179</v>
      </c>
      <c r="AB29" s="112">
        <f t="shared" si="4"/>
        <v>3680.0706214800002</v>
      </c>
    </row>
    <row r="30" spans="1:28" s="155" customFormat="1" ht="38.25">
      <c r="A30" s="84">
        <v>18</v>
      </c>
      <c r="B30" s="150" t="s">
        <v>206</v>
      </c>
      <c r="C30" s="150" t="s">
        <v>207</v>
      </c>
      <c r="D30" s="154" t="s">
        <v>348</v>
      </c>
      <c r="E30" s="84">
        <v>0.5</v>
      </c>
      <c r="F30" s="154" t="s">
        <v>37</v>
      </c>
      <c r="G30" s="84" t="s">
        <v>324</v>
      </c>
      <c r="H30" s="82" t="s">
        <v>374</v>
      </c>
      <c r="I30" s="121">
        <v>4.46</v>
      </c>
      <c r="J30" s="111">
        <v>17697</v>
      </c>
      <c r="K30" s="83">
        <v>1.95</v>
      </c>
      <c r="L30" s="111">
        <f t="shared" si="0"/>
        <v>76955.40449999999</v>
      </c>
      <c r="M30" s="111"/>
      <c r="N30" s="111">
        <f t="shared" si="1"/>
        <v>76955.40449999999</v>
      </c>
      <c r="O30" s="111">
        <f t="shared" si="2"/>
        <v>7695.5404499999995</v>
      </c>
      <c r="P30" s="111"/>
      <c r="Q30" s="162"/>
      <c r="R30" s="162"/>
      <c r="S30" s="112"/>
      <c r="T30" s="162"/>
      <c r="U30" s="112"/>
      <c r="V30" s="112"/>
      <c r="W30" s="112"/>
      <c r="X30" s="112"/>
      <c r="Y30" s="112"/>
      <c r="Z30" s="112"/>
      <c r="AA30" s="112">
        <f t="shared" si="3"/>
        <v>84650.94494999999</v>
      </c>
      <c r="AB30" s="112">
        <f t="shared" si="4"/>
        <v>1015.8113394</v>
      </c>
    </row>
    <row r="31" spans="1:28" s="155" customFormat="1" ht="38.25">
      <c r="A31" s="84">
        <v>19</v>
      </c>
      <c r="B31" s="150" t="s">
        <v>206</v>
      </c>
      <c r="C31" s="150" t="s">
        <v>208</v>
      </c>
      <c r="D31" s="154" t="s">
        <v>348</v>
      </c>
      <c r="E31" s="84">
        <v>1</v>
      </c>
      <c r="F31" s="110"/>
      <c r="G31" s="84" t="s">
        <v>325</v>
      </c>
      <c r="H31" s="82" t="s">
        <v>369</v>
      </c>
      <c r="I31" s="121">
        <v>3.41</v>
      </c>
      <c r="J31" s="111">
        <v>17697</v>
      </c>
      <c r="K31" s="83">
        <v>1.95</v>
      </c>
      <c r="L31" s="111">
        <f t="shared" si="0"/>
        <v>117676.20150000001</v>
      </c>
      <c r="M31" s="111"/>
      <c r="N31" s="111">
        <f t="shared" si="1"/>
        <v>117676.20150000001</v>
      </c>
      <c r="O31" s="111">
        <f t="shared" si="2"/>
        <v>11767.620150000002</v>
      </c>
      <c r="P31" s="111"/>
      <c r="Q31" s="162"/>
      <c r="R31" s="162"/>
      <c r="S31" s="112"/>
      <c r="T31" s="162"/>
      <c r="U31" s="112"/>
      <c r="V31" s="112"/>
      <c r="W31" s="112"/>
      <c r="X31" s="112"/>
      <c r="Y31" s="112"/>
      <c r="Z31" s="112"/>
      <c r="AA31" s="112">
        <f t="shared" si="3"/>
        <v>129443.82165000001</v>
      </c>
      <c r="AB31" s="112">
        <f t="shared" si="4"/>
        <v>1553.3258598000002</v>
      </c>
    </row>
    <row r="32" spans="1:28" s="155" customFormat="1" ht="25.5">
      <c r="A32" s="84">
        <v>20</v>
      </c>
      <c r="B32" s="150" t="s">
        <v>209</v>
      </c>
      <c r="C32" s="150" t="s">
        <v>210</v>
      </c>
      <c r="D32" s="154" t="s">
        <v>37</v>
      </c>
      <c r="E32" s="84">
        <v>1</v>
      </c>
      <c r="F32" s="110"/>
      <c r="G32" s="84" t="s">
        <v>13</v>
      </c>
      <c r="H32" s="82" t="s">
        <v>375</v>
      </c>
      <c r="I32" s="121">
        <v>4</v>
      </c>
      <c r="J32" s="111">
        <v>17697</v>
      </c>
      <c r="K32" s="83">
        <v>1.23</v>
      </c>
      <c r="L32" s="111">
        <f t="shared" si="0"/>
        <v>87069.24</v>
      </c>
      <c r="M32" s="111"/>
      <c r="N32" s="111">
        <f t="shared" si="1"/>
        <v>87069.24</v>
      </c>
      <c r="O32" s="111">
        <f t="shared" si="2"/>
        <v>8706.9240000000009</v>
      </c>
      <c r="P32" s="111"/>
      <c r="Q32" s="162"/>
      <c r="R32" s="162"/>
      <c r="S32" s="112"/>
      <c r="T32" s="162"/>
      <c r="U32" s="112"/>
      <c r="V32" s="112"/>
      <c r="W32" s="112"/>
      <c r="X32" s="112"/>
      <c r="Y32" s="112"/>
      <c r="Z32" s="112"/>
      <c r="AA32" s="112">
        <f t="shared" si="3"/>
        <v>95776.164000000004</v>
      </c>
      <c r="AB32" s="112">
        <f t="shared" si="4"/>
        <v>1149.3139680000002</v>
      </c>
    </row>
    <row r="33" spans="1:28" s="155" customFormat="1" ht="25.5">
      <c r="A33" s="84">
        <v>21</v>
      </c>
      <c r="B33" s="150" t="s">
        <v>209</v>
      </c>
      <c r="C33" s="150" t="s">
        <v>211</v>
      </c>
      <c r="D33" s="154" t="s">
        <v>37</v>
      </c>
      <c r="E33" s="84">
        <v>1</v>
      </c>
      <c r="F33" s="110"/>
      <c r="G33" s="84" t="s">
        <v>13</v>
      </c>
      <c r="H33" s="82" t="s">
        <v>376</v>
      </c>
      <c r="I33" s="121">
        <v>3.94</v>
      </c>
      <c r="J33" s="111">
        <v>17697</v>
      </c>
      <c r="K33" s="83">
        <v>1.23</v>
      </c>
      <c r="L33" s="111">
        <f t="shared" si="0"/>
        <v>85763.201399999991</v>
      </c>
      <c r="M33" s="111"/>
      <c r="N33" s="111">
        <f t="shared" si="1"/>
        <v>85763.201399999991</v>
      </c>
      <c r="O33" s="111">
        <f t="shared" si="2"/>
        <v>8576.3201399999998</v>
      </c>
      <c r="P33" s="111"/>
      <c r="Q33" s="163"/>
      <c r="R33" s="162"/>
      <c r="S33" s="112"/>
      <c r="T33" s="162"/>
      <c r="U33" s="112"/>
      <c r="V33" s="112"/>
      <c r="W33" s="112"/>
      <c r="X33" s="112"/>
      <c r="Y33" s="112"/>
      <c r="Z33" s="112"/>
      <c r="AA33" s="112">
        <f t="shared" si="3"/>
        <v>94339.521539999987</v>
      </c>
      <c r="AB33" s="112">
        <f t="shared" si="4"/>
        <v>1132.0742584799998</v>
      </c>
    </row>
    <row r="34" spans="1:28" s="155" customFormat="1" ht="25.5">
      <c r="A34" s="84">
        <v>22</v>
      </c>
      <c r="B34" s="150" t="s">
        <v>209</v>
      </c>
      <c r="C34" s="150" t="s">
        <v>212</v>
      </c>
      <c r="D34" s="154" t="s">
        <v>37</v>
      </c>
      <c r="E34" s="84">
        <v>1</v>
      </c>
      <c r="F34" s="110"/>
      <c r="G34" s="84" t="s">
        <v>13</v>
      </c>
      <c r="H34" s="82" t="s">
        <v>377</v>
      </c>
      <c r="I34" s="121">
        <v>3.94</v>
      </c>
      <c r="J34" s="111">
        <v>17697</v>
      </c>
      <c r="K34" s="83">
        <v>1.23</v>
      </c>
      <c r="L34" s="111">
        <f t="shared" si="0"/>
        <v>85763.201399999991</v>
      </c>
      <c r="M34" s="111"/>
      <c r="N34" s="111">
        <f t="shared" si="1"/>
        <v>85763.201399999991</v>
      </c>
      <c r="O34" s="111">
        <f t="shared" si="2"/>
        <v>8576.3201399999998</v>
      </c>
      <c r="P34" s="111"/>
      <c r="Q34" s="162"/>
      <c r="R34" s="162"/>
      <c r="S34" s="112"/>
      <c r="T34" s="162"/>
      <c r="U34" s="112"/>
      <c r="V34" s="112"/>
      <c r="W34" s="112"/>
      <c r="X34" s="112"/>
      <c r="Y34" s="112"/>
      <c r="Z34" s="112"/>
      <c r="AA34" s="112">
        <f t="shared" si="3"/>
        <v>94339.521539999987</v>
      </c>
      <c r="AB34" s="112">
        <f t="shared" si="4"/>
        <v>1132.0742584799998</v>
      </c>
    </row>
    <row r="35" spans="1:28" s="155" customFormat="1" ht="25.5">
      <c r="A35" s="84">
        <v>23</v>
      </c>
      <c r="B35" s="150" t="s">
        <v>209</v>
      </c>
      <c r="C35" s="150" t="s">
        <v>213</v>
      </c>
      <c r="D35" s="154" t="s">
        <v>37</v>
      </c>
      <c r="E35" s="84">
        <v>1</v>
      </c>
      <c r="F35" s="110"/>
      <c r="G35" s="84" t="s">
        <v>13</v>
      </c>
      <c r="H35" s="82" t="s">
        <v>357</v>
      </c>
      <c r="I35" s="121">
        <v>3.52</v>
      </c>
      <c r="J35" s="111">
        <v>17697</v>
      </c>
      <c r="K35" s="83">
        <v>1.23</v>
      </c>
      <c r="L35" s="111">
        <f t="shared" si="0"/>
        <v>76620.931200000006</v>
      </c>
      <c r="M35" s="111"/>
      <c r="N35" s="111">
        <f t="shared" si="1"/>
        <v>76620.931200000006</v>
      </c>
      <c r="O35" s="111">
        <f t="shared" si="2"/>
        <v>7662.0931200000014</v>
      </c>
      <c r="P35" s="111"/>
      <c r="Q35" s="162"/>
      <c r="R35" s="162"/>
      <c r="S35" s="112"/>
      <c r="T35" s="162"/>
      <c r="U35" s="112"/>
      <c r="V35" s="112"/>
      <c r="W35" s="112"/>
      <c r="X35" s="112"/>
      <c r="Y35" s="112"/>
      <c r="Z35" s="112"/>
      <c r="AA35" s="112">
        <f t="shared" si="3"/>
        <v>84283.024320000011</v>
      </c>
      <c r="AB35" s="112">
        <f t="shared" si="4"/>
        <v>1011.3962918400001</v>
      </c>
    </row>
    <row r="36" spans="1:28" s="155" customFormat="1" ht="38.25">
      <c r="A36" s="84">
        <v>24</v>
      </c>
      <c r="B36" s="151" t="s">
        <v>209</v>
      </c>
      <c r="C36" s="150" t="s">
        <v>214</v>
      </c>
      <c r="D36" s="154" t="s">
        <v>37</v>
      </c>
      <c r="E36" s="84">
        <v>1</v>
      </c>
      <c r="F36" s="110"/>
      <c r="G36" s="84" t="s">
        <v>13</v>
      </c>
      <c r="H36" s="83" t="s">
        <v>378</v>
      </c>
      <c r="I36" s="121">
        <v>3.85</v>
      </c>
      <c r="J36" s="111">
        <v>17697</v>
      </c>
      <c r="K36" s="83">
        <v>1.23</v>
      </c>
      <c r="L36" s="111">
        <f t="shared" si="0"/>
        <v>83804.143499999991</v>
      </c>
      <c r="M36" s="111"/>
      <c r="N36" s="111">
        <f t="shared" si="1"/>
        <v>83804.143499999991</v>
      </c>
      <c r="O36" s="111">
        <f t="shared" si="2"/>
        <v>8380.4143499999991</v>
      </c>
      <c r="P36" s="111"/>
      <c r="Q36" s="162"/>
      <c r="R36" s="162"/>
      <c r="S36" s="112"/>
      <c r="T36" s="162"/>
      <c r="U36" s="112"/>
      <c r="V36" s="112"/>
      <c r="W36" s="112"/>
      <c r="X36" s="112"/>
      <c r="Y36" s="112"/>
      <c r="Z36" s="112"/>
      <c r="AA36" s="112">
        <f t="shared" si="3"/>
        <v>92184.557849999983</v>
      </c>
      <c r="AB36" s="112">
        <f t="shared" si="4"/>
        <v>1106.2146941999997</v>
      </c>
    </row>
    <row r="37" spans="1:28" s="155" customFormat="1" ht="25.5">
      <c r="A37" s="84">
        <v>25</v>
      </c>
      <c r="B37" s="150" t="s">
        <v>209</v>
      </c>
      <c r="C37" s="150" t="s">
        <v>215</v>
      </c>
      <c r="D37" s="154" t="s">
        <v>37</v>
      </c>
      <c r="E37" s="84">
        <v>1</v>
      </c>
      <c r="F37" s="110"/>
      <c r="G37" s="84" t="s">
        <v>13</v>
      </c>
      <c r="H37" s="83" t="s">
        <v>379</v>
      </c>
      <c r="I37" s="121">
        <v>3.94</v>
      </c>
      <c r="J37" s="111">
        <v>17697</v>
      </c>
      <c r="K37" s="83">
        <v>1.23</v>
      </c>
      <c r="L37" s="111">
        <f t="shared" si="0"/>
        <v>85763.201399999991</v>
      </c>
      <c r="M37" s="111"/>
      <c r="N37" s="111">
        <f t="shared" si="1"/>
        <v>85763.201399999991</v>
      </c>
      <c r="O37" s="111">
        <f t="shared" si="2"/>
        <v>8576.3201399999998</v>
      </c>
      <c r="P37" s="111"/>
      <c r="Q37" s="162"/>
      <c r="R37" s="162"/>
      <c r="S37" s="112"/>
      <c r="T37" s="162"/>
      <c r="U37" s="112"/>
      <c r="V37" s="112"/>
      <c r="W37" s="112"/>
      <c r="X37" s="112"/>
      <c r="Y37" s="112"/>
      <c r="Z37" s="112"/>
      <c r="AA37" s="112">
        <f t="shared" si="3"/>
        <v>94339.521539999987</v>
      </c>
      <c r="AB37" s="112">
        <f t="shared" si="4"/>
        <v>1132.0742584799998</v>
      </c>
    </row>
    <row r="38" spans="1:28" s="155" customFormat="1" ht="25.5">
      <c r="A38" s="84">
        <v>26</v>
      </c>
      <c r="B38" s="150" t="s">
        <v>216</v>
      </c>
      <c r="C38" s="150" t="s">
        <v>217</v>
      </c>
      <c r="D38" s="154" t="s">
        <v>37</v>
      </c>
      <c r="E38" s="84">
        <v>1</v>
      </c>
      <c r="F38" s="110"/>
      <c r="G38" s="84" t="s">
        <v>12</v>
      </c>
      <c r="H38" s="82" t="s">
        <v>380</v>
      </c>
      <c r="I38" s="121">
        <v>5.31</v>
      </c>
      <c r="J38" s="111">
        <v>17697</v>
      </c>
      <c r="K38" s="83">
        <v>1.75</v>
      </c>
      <c r="L38" s="111">
        <f t="shared" si="0"/>
        <v>164449.3725</v>
      </c>
      <c r="M38" s="111"/>
      <c r="N38" s="111">
        <f t="shared" si="1"/>
        <v>164449.3725</v>
      </c>
      <c r="O38" s="111">
        <f t="shared" si="2"/>
        <v>16444.937249999999</v>
      </c>
      <c r="P38" s="111"/>
      <c r="Q38" s="162"/>
      <c r="R38" s="162"/>
      <c r="S38" s="112"/>
      <c r="T38" s="162"/>
      <c r="U38" s="112"/>
      <c r="V38" s="112"/>
      <c r="W38" s="112"/>
      <c r="X38" s="112"/>
      <c r="Y38" s="112"/>
      <c r="Z38" s="112"/>
      <c r="AA38" s="112">
        <f t="shared" si="3"/>
        <v>180894.30974999999</v>
      </c>
      <c r="AB38" s="112">
        <f t="shared" si="4"/>
        <v>2170.7317169999997</v>
      </c>
    </row>
    <row r="39" spans="1:28" s="155" customFormat="1" ht="25.5">
      <c r="A39" s="84">
        <v>27</v>
      </c>
      <c r="B39" s="150" t="s">
        <v>218</v>
      </c>
      <c r="C39" s="150" t="s">
        <v>188</v>
      </c>
      <c r="D39" s="154" t="s">
        <v>37</v>
      </c>
      <c r="E39" s="84">
        <v>0.5</v>
      </c>
      <c r="F39" s="110" t="s">
        <v>37</v>
      </c>
      <c r="G39" s="84" t="s">
        <v>12</v>
      </c>
      <c r="H39" s="82" t="s">
        <v>381</v>
      </c>
      <c r="I39" s="121">
        <v>5.31</v>
      </c>
      <c r="J39" s="111">
        <v>17697</v>
      </c>
      <c r="K39" s="83">
        <v>1.23</v>
      </c>
      <c r="L39" s="111">
        <f t="shared" si="0"/>
        <v>57792.208049999994</v>
      </c>
      <c r="M39" s="111"/>
      <c r="N39" s="111">
        <f t="shared" si="1"/>
        <v>57792.208049999994</v>
      </c>
      <c r="O39" s="111">
        <f t="shared" si="2"/>
        <v>5779.2208049999999</v>
      </c>
      <c r="P39" s="111"/>
      <c r="Q39" s="162"/>
      <c r="R39" s="162"/>
      <c r="S39" s="112"/>
      <c r="T39" s="162"/>
      <c r="U39" s="112"/>
      <c r="V39" s="112"/>
      <c r="W39" s="112"/>
      <c r="X39" s="112"/>
      <c r="Y39" s="112"/>
      <c r="Z39" s="112"/>
      <c r="AA39" s="112">
        <f t="shared" si="3"/>
        <v>63571.428854999991</v>
      </c>
      <c r="AB39" s="112">
        <f t="shared" si="4"/>
        <v>762.85714625999981</v>
      </c>
    </row>
    <row r="40" spans="1:28" s="155" customFormat="1" ht="25.5">
      <c r="A40" s="84">
        <v>28</v>
      </c>
      <c r="B40" s="150" t="s">
        <v>218</v>
      </c>
      <c r="C40" s="150" t="s">
        <v>219</v>
      </c>
      <c r="D40" s="154" t="s">
        <v>37</v>
      </c>
      <c r="E40" s="84">
        <v>0.5</v>
      </c>
      <c r="F40" s="110"/>
      <c r="G40" s="84" t="s">
        <v>12</v>
      </c>
      <c r="H40" s="82" t="s">
        <v>382</v>
      </c>
      <c r="I40" s="121">
        <v>4.8600000000000003</v>
      </c>
      <c r="J40" s="111">
        <v>17697</v>
      </c>
      <c r="K40" s="83">
        <v>1.23</v>
      </c>
      <c r="L40" s="111">
        <f t="shared" si="0"/>
        <v>52894.563300000009</v>
      </c>
      <c r="M40" s="111"/>
      <c r="N40" s="111">
        <f t="shared" si="1"/>
        <v>52894.563300000009</v>
      </c>
      <c r="O40" s="111">
        <f t="shared" si="2"/>
        <v>5289.4563300000009</v>
      </c>
      <c r="P40" s="111"/>
      <c r="Q40" s="162"/>
      <c r="R40" s="162"/>
      <c r="S40" s="112"/>
      <c r="T40" s="162"/>
      <c r="U40" s="112"/>
      <c r="V40" s="112"/>
      <c r="W40" s="112"/>
      <c r="X40" s="112"/>
      <c r="Y40" s="112"/>
      <c r="Z40" s="112"/>
      <c r="AA40" s="112">
        <f t="shared" si="3"/>
        <v>58184.01963000001</v>
      </c>
      <c r="AB40" s="112">
        <f t="shared" si="4"/>
        <v>698.20823556000016</v>
      </c>
    </row>
    <row r="41" spans="1:28" s="155" customFormat="1" ht="25.5">
      <c r="A41" s="84">
        <v>29</v>
      </c>
      <c r="B41" s="150" t="s">
        <v>220</v>
      </c>
      <c r="C41" s="150" t="s">
        <v>221</v>
      </c>
      <c r="D41" s="154" t="s">
        <v>37</v>
      </c>
      <c r="E41" s="84">
        <v>1</v>
      </c>
      <c r="F41" s="110" t="s">
        <v>70</v>
      </c>
      <c r="G41" s="84" t="s">
        <v>11</v>
      </c>
      <c r="H41" s="82" t="s">
        <v>382</v>
      </c>
      <c r="I41" s="121">
        <v>4.46</v>
      </c>
      <c r="J41" s="111">
        <v>17697</v>
      </c>
      <c r="K41" s="83">
        <v>1.23</v>
      </c>
      <c r="L41" s="111">
        <f t="shared" si="0"/>
        <v>97082.20259999999</v>
      </c>
      <c r="M41" s="111"/>
      <c r="N41" s="111">
        <f t="shared" si="1"/>
        <v>97082.20259999999</v>
      </c>
      <c r="O41" s="111">
        <f t="shared" si="2"/>
        <v>9708.2202600000001</v>
      </c>
      <c r="P41" s="111"/>
      <c r="Q41" s="162">
        <f>17697*30%</f>
        <v>5309.0999999999995</v>
      </c>
      <c r="R41" s="162"/>
      <c r="S41" s="112"/>
      <c r="T41" s="162"/>
      <c r="U41" s="112"/>
      <c r="V41" s="112"/>
      <c r="W41" s="112"/>
      <c r="X41" s="112"/>
      <c r="Y41" s="112"/>
      <c r="Z41" s="112"/>
      <c r="AA41" s="112">
        <f t="shared" si="3"/>
        <v>112099.52286</v>
      </c>
      <c r="AB41" s="112">
        <f t="shared" si="4"/>
        <v>1345.1942743199997</v>
      </c>
    </row>
    <row r="42" spans="1:28" s="155" customFormat="1" ht="25.5">
      <c r="A42" s="84">
        <v>30</v>
      </c>
      <c r="B42" s="151" t="s">
        <v>222</v>
      </c>
      <c r="C42" s="150" t="s">
        <v>223</v>
      </c>
      <c r="D42" s="154" t="s">
        <v>37</v>
      </c>
      <c r="E42" s="84">
        <v>1</v>
      </c>
      <c r="F42" s="110"/>
      <c r="G42" s="84" t="s">
        <v>11</v>
      </c>
      <c r="H42" s="82" t="s">
        <v>383</v>
      </c>
      <c r="I42" s="121">
        <v>4.2300000000000004</v>
      </c>
      <c r="J42" s="111">
        <v>17697</v>
      </c>
      <c r="K42" s="83">
        <v>1.23</v>
      </c>
      <c r="L42" s="111">
        <f t="shared" si="0"/>
        <v>92075.721300000019</v>
      </c>
      <c r="M42" s="111"/>
      <c r="N42" s="111">
        <f t="shared" si="1"/>
        <v>92075.721300000019</v>
      </c>
      <c r="O42" s="111">
        <f t="shared" si="2"/>
        <v>9207.5721300000023</v>
      </c>
      <c r="P42" s="111"/>
      <c r="Q42" s="162"/>
      <c r="R42" s="162"/>
      <c r="S42" s="112"/>
      <c r="T42" s="162"/>
      <c r="U42" s="112"/>
      <c r="V42" s="112"/>
      <c r="W42" s="112"/>
      <c r="X42" s="112"/>
      <c r="Y42" s="112"/>
      <c r="Z42" s="112"/>
      <c r="AA42" s="112">
        <f t="shared" si="3"/>
        <v>101283.29343000002</v>
      </c>
      <c r="AB42" s="112">
        <f t="shared" si="4"/>
        <v>1215.3995211600002</v>
      </c>
    </row>
    <row r="43" spans="1:28" s="155" customFormat="1" ht="25.5">
      <c r="A43" s="84">
        <v>31</v>
      </c>
      <c r="B43" s="150" t="s">
        <v>224</v>
      </c>
      <c r="C43" s="150" t="s">
        <v>225</v>
      </c>
      <c r="D43" s="154" t="s">
        <v>37</v>
      </c>
      <c r="E43" s="84">
        <v>1</v>
      </c>
      <c r="F43" s="110"/>
      <c r="G43" s="84" t="s">
        <v>11</v>
      </c>
      <c r="H43" s="165" t="s">
        <v>362</v>
      </c>
      <c r="I43" s="121">
        <v>4.46</v>
      </c>
      <c r="J43" s="111">
        <v>17697</v>
      </c>
      <c r="K43" s="83">
        <v>1.23</v>
      </c>
      <c r="L43" s="111">
        <f t="shared" si="0"/>
        <v>97082.20259999999</v>
      </c>
      <c r="M43" s="111"/>
      <c r="N43" s="111">
        <f t="shared" si="1"/>
        <v>97082.20259999999</v>
      </c>
      <c r="O43" s="111">
        <f t="shared" si="2"/>
        <v>9708.2202600000001</v>
      </c>
      <c r="P43" s="111"/>
      <c r="Q43" s="162"/>
      <c r="R43" s="162"/>
      <c r="S43" s="112"/>
      <c r="T43" s="162"/>
      <c r="U43" s="112"/>
      <c r="V43" s="112"/>
      <c r="W43" s="112"/>
      <c r="X43" s="112"/>
      <c r="Y43" s="112"/>
      <c r="Z43" s="112"/>
      <c r="AA43" s="112">
        <f t="shared" si="3"/>
        <v>106790.42285999999</v>
      </c>
      <c r="AB43" s="112">
        <f t="shared" si="4"/>
        <v>1281.48507432</v>
      </c>
    </row>
    <row r="44" spans="1:28" s="155" customFormat="1" ht="38.25">
      <c r="A44" s="84">
        <v>32</v>
      </c>
      <c r="B44" s="150" t="s">
        <v>226</v>
      </c>
      <c r="C44" s="150" t="s">
        <v>227</v>
      </c>
      <c r="D44" s="154" t="s">
        <v>37</v>
      </c>
      <c r="E44" s="84">
        <v>1</v>
      </c>
      <c r="F44" s="110"/>
      <c r="G44" s="84" t="s">
        <v>321</v>
      </c>
      <c r="H44" s="82" t="s">
        <v>384</v>
      </c>
      <c r="I44" s="121">
        <v>4.46</v>
      </c>
      <c r="J44" s="111">
        <v>17697</v>
      </c>
      <c r="K44" s="83">
        <v>1.23</v>
      </c>
      <c r="L44" s="111">
        <f t="shared" si="0"/>
        <v>97082.20259999999</v>
      </c>
      <c r="M44" s="111"/>
      <c r="N44" s="111">
        <f t="shared" si="1"/>
        <v>97082.20259999999</v>
      </c>
      <c r="O44" s="111">
        <f t="shared" si="2"/>
        <v>9708.2202600000001</v>
      </c>
      <c r="P44" s="111"/>
      <c r="Q44" s="162"/>
      <c r="R44" s="162"/>
      <c r="S44" s="112"/>
      <c r="T44" s="162"/>
      <c r="U44" s="112"/>
      <c r="V44" s="112"/>
      <c r="W44" s="112"/>
      <c r="X44" s="112"/>
      <c r="Y44" s="112"/>
      <c r="Z44" s="112"/>
      <c r="AA44" s="112">
        <f t="shared" si="3"/>
        <v>106790.42285999999</v>
      </c>
      <c r="AB44" s="112">
        <f t="shared" si="4"/>
        <v>1281.48507432</v>
      </c>
    </row>
    <row r="45" spans="1:28" s="155" customFormat="1" ht="38.25">
      <c r="A45" s="84">
        <v>33</v>
      </c>
      <c r="B45" s="150" t="s">
        <v>228</v>
      </c>
      <c r="C45" s="150" t="s">
        <v>227</v>
      </c>
      <c r="D45" s="154" t="s">
        <v>37</v>
      </c>
      <c r="E45" s="84">
        <v>0.5</v>
      </c>
      <c r="F45" s="110"/>
      <c r="G45" s="149" t="s">
        <v>14</v>
      </c>
      <c r="H45" s="82" t="s">
        <v>379</v>
      </c>
      <c r="I45" s="122">
        <v>3.16</v>
      </c>
      <c r="J45" s="111">
        <v>17697</v>
      </c>
      <c r="K45" s="83">
        <v>1.23</v>
      </c>
      <c r="L45" s="111">
        <f t="shared" si="0"/>
        <v>34392.349800000004</v>
      </c>
      <c r="M45" s="111"/>
      <c r="N45" s="111">
        <f t="shared" si="1"/>
        <v>34392.349800000004</v>
      </c>
      <c r="O45" s="111">
        <f t="shared" si="2"/>
        <v>3439.2349800000006</v>
      </c>
      <c r="P45" s="111"/>
      <c r="Q45" s="162"/>
      <c r="R45" s="162"/>
      <c r="S45" s="112"/>
      <c r="T45" s="162"/>
      <c r="U45" s="112"/>
      <c r="V45" s="112"/>
      <c r="W45" s="112"/>
      <c r="X45" s="112"/>
      <c r="Y45" s="112"/>
      <c r="Z45" s="112"/>
      <c r="AA45" s="112">
        <f t="shared" si="3"/>
        <v>37831.584780000005</v>
      </c>
      <c r="AB45" s="112">
        <f t="shared" si="4"/>
        <v>453.97901736000006</v>
      </c>
    </row>
    <row r="46" spans="1:28" s="155" customFormat="1" ht="25.5">
      <c r="A46" s="84">
        <v>34</v>
      </c>
      <c r="B46" s="150" t="s">
        <v>228</v>
      </c>
      <c r="C46" s="150" t="s">
        <v>229</v>
      </c>
      <c r="D46" s="154" t="s">
        <v>37</v>
      </c>
      <c r="E46" s="84">
        <v>0.5</v>
      </c>
      <c r="F46" s="110"/>
      <c r="G46" s="84" t="s">
        <v>14</v>
      </c>
      <c r="H46" s="82" t="s">
        <v>385</v>
      </c>
      <c r="I46" s="121">
        <v>3.12</v>
      </c>
      <c r="J46" s="111">
        <v>17697</v>
      </c>
      <c r="K46" s="83">
        <v>1.23</v>
      </c>
      <c r="L46" s="111">
        <f t="shared" si="0"/>
        <v>33957.003599999996</v>
      </c>
      <c r="M46" s="111"/>
      <c r="N46" s="111">
        <f t="shared" si="1"/>
        <v>33957.003599999996</v>
      </c>
      <c r="O46" s="111">
        <f t="shared" si="2"/>
        <v>3395.7003599999998</v>
      </c>
      <c r="P46" s="111"/>
      <c r="Q46" s="162"/>
      <c r="R46" s="162"/>
      <c r="S46" s="112"/>
      <c r="T46" s="162"/>
      <c r="U46" s="112"/>
      <c r="V46" s="112"/>
      <c r="W46" s="112"/>
      <c r="X46" s="112"/>
      <c r="Y46" s="112"/>
      <c r="Z46" s="112"/>
      <c r="AA46" s="112">
        <f t="shared" si="3"/>
        <v>37352.703959999999</v>
      </c>
      <c r="AB46" s="112">
        <f t="shared" si="4"/>
        <v>448.23244751999999</v>
      </c>
    </row>
    <row r="47" spans="1:28" s="155" customFormat="1" ht="25.5">
      <c r="A47" s="84">
        <v>35</v>
      </c>
      <c r="B47" s="150" t="s">
        <v>230</v>
      </c>
      <c r="C47" s="150" t="s">
        <v>231</v>
      </c>
      <c r="D47" s="154" t="s">
        <v>37</v>
      </c>
      <c r="E47" s="84">
        <v>1</v>
      </c>
      <c r="F47" s="110"/>
      <c r="G47" s="84" t="s">
        <v>14</v>
      </c>
      <c r="H47" s="82" t="s">
        <v>379</v>
      </c>
      <c r="I47" s="121">
        <v>3.16</v>
      </c>
      <c r="J47" s="111">
        <v>17697</v>
      </c>
      <c r="K47" s="83">
        <v>1.23</v>
      </c>
      <c r="L47" s="111">
        <f t="shared" si="0"/>
        <v>68784.699600000007</v>
      </c>
      <c r="M47" s="111"/>
      <c r="N47" s="111">
        <f t="shared" si="1"/>
        <v>68784.699600000007</v>
      </c>
      <c r="O47" s="111">
        <f t="shared" si="2"/>
        <v>6878.4699600000013</v>
      </c>
      <c r="P47" s="111"/>
      <c r="Q47" s="162"/>
      <c r="R47" s="162"/>
      <c r="S47" s="112"/>
      <c r="T47" s="162"/>
      <c r="U47" s="112"/>
      <c r="V47" s="112"/>
      <c r="W47" s="112"/>
      <c r="X47" s="112"/>
      <c r="Y47" s="112"/>
      <c r="Z47" s="112"/>
      <c r="AA47" s="112">
        <f t="shared" si="3"/>
        <v>75663.169560000009</v>
      </c>
      <c r="AB47" s="112">
        <f t="shared" si="4"/>
        <v>907.95803472000011</v>
      </c>
    </row>
    <row r="48" spans="1:28" s="155" customFormat="1" ht="25.5">
      <c r="A48" s="84">
        <v>36</v>
      </c>
      <c r="B48" s="150" t="s">
        <v>232</v>
      </c>
      <c r="C48" s="150" t="s">
        <v>233</v>
      </c>
      <c r="D48" s="154" t="s">
        <v>37</v>
      </c>
      <c r="E48" s="84">
        <v>1</v>
      </c>
      <c r="F48" s="154" t="s">
        <v>37</v>
      </c>
      <c r="G48" s="84" t="s">
        <v>326</v>
      </c>
      <c r="H48" s="82" t="s">
        <v>386</v>
      </c>
      <c r="I48" s="121">
        <v>4.75</v>
      </c>
      <c r="J48" s="111">
        <v>17697</v>
      </c>
      <c r="K48" s="83">
        <v>1.75</v>
      </c>
      <c r="L48" s="111">
        <f t="shared" si="0"/>
        <v>147106.3125</v>
      </c>
      <c r="M48" s="111"/>
      <c r="N48" s="111">
        <f t="shared" si="1"/>
        <v>147106.3125</v>
      </c>
      <c r="O48" s="111">
        <f t="shared" si="2"/>
        <v>14710.63125</v>
      </c>
      <c r="P48" s="111"/>
      <c r="Q48" s="162"/>
      <c r="R48" s="162"/>
      <c r="S48" s="112"/>
      <c r="T48" s="162"/>
      <c r="U48" s="112"/>
      <c r="V48" s="112"/>
      <c r="W48" s="112"/>
      <c r="X48" s="112">
        <f>N48*40%</f>
        <v>58842.525000000001</v>
      </c>
      <c r="Y48" s="112"/>
      <c r="Z48" s="112"/>
      <c r="AA48" s="112">
        <f t="shared" si="3"/>
        <v>220659.46875</v>
      </c>
      <c r="AB48" s="112">
        <f t="shared" si="4"/>
        <v>2647.9136250000001</v>
      </c>
    </row>
    <row r="49" spans="1:28" s="155" customFormat="1" ht="25.5">
      <c r="A49" s="84">
        <v>37</v>
      </c>
      <c r="B49" s="150" t="s">
        <v>232</v>
      </c>
      <c r="C49" s="150" t="s">
        <v>234</v>
      </c>
      <c r="D49" s="154" t="s">
        <v>37</v>
      </c>
      <c r="E49" s="84">
        <v>1</v>
      </c>
      <c r="F49" s="154" t="s">
        <v>37</v>
      </c>
      <c r="G49" s="84" t="s">
        <v>326</v>
      </c>
      <c r="H49" s="82" t="s">
        <v>387</v>
      </c>
      <c r="I49" s="121">
        <v>4.75</v>
      </c>
      <c r="J49" s="111">
        <v>17697</v>
      </c>
      <c r="K49" s="83">
        <v>1.75</v>
      </c>
      <c r="L49" s="111">
        <f t="shared" si="0"/>
        <v>147106.3125</v>
      </c>
      <c r="M49" s="111"/>
      <c r="N49" s="111">
        <f t="shared" si="1"/>
        <v>147106.3125</v>
      </c>
      <c r="O49" s="111">
        <f t="shared" si="2"/>
        <v>14710.63125</v>
      </c>
      <c r="P49" s="111"/>
      <c r="Q49" s="162"/>
      <c r="R49" s="162"/>
      <c r="S49" s="112"/>
      <c r="T49" s="162"/>
      <c r="U49" s="112"/>
      <c r="V49" s="112"/>
      <c r="W49" s="112"/>
      <c r="X49" s="112"/>
      <c r="Y49" s="112"/>
      <c r="Z49" s="112"/>
      <c r="AA49" s="112">
        <f t="shared" si="3"/>
        <v>161816.94375000001</v>
      </c>
      <c r="AB49" s="112">
        <f t="shared" si="4"/>
        <v>1941.8033250000001</v>
      </c>
    </row>
    <row r="50" spans="1:28" s="155" customFormat="1" ht="25.5">
      <c r="A50" s="84">
        <v>38</v>
      </c>
      <c r="B50" s="150" t="s">
        <v>232</v>
      </c>
      <c r="C50" s="150" t="s">
        <v>235</v>
      </c>
      <c r="D50" s="154" t="s">
        <v>37</v>
      </c>
      <c r="E50" s="84">
        <v>1</v>
      </c>
      <c r="F50" s="154" t="s">
        <v>37</v>
      </c>
      <c r="G50" s="110" t="s">
        <v>326</v>
      </c>
      <c r="H50" s="165" t="s">
        <v>388</v>
      </c>
      <c r="I50" s="166">
        <v>4.62</v>
      </c>
      <c r="J50" s="111">
        <v>17697</v>
      </c>
      <c r="K50" s="83">
        <v>1.75</v>
      </c>
      <c r="L50" s="111">
        <f t="shared" si="0"/>
        <v>143080.245</v>
      </c>
      <c r="M50" s="111"/>
      <c r="N50" s="111">
        <f t="shared" si="1"/>
        <v>143080.245</v>
      </c>
      <c r="O50" s="111">
        <f t="shared" si="2"/>
        <v>14308.0245</v>
      </c>
      <c r="P50" s="111"/>
      <c r="Q50" s="162"/>
      <c r="R50" s="162"/>
      <c r="S50" s="112"/>
      <c r="T50" s="162"/>
      <c r="U50" s="112"/>
      <c r="V50" s="112"/>
      <c r="W50" s="112"/>
      <c r="X50" s="112"/>
      <c r="Y50" s="112"/>
      <c r="Z50" s="112"/>
      <c r="AA50" s="112">
        <f t="shared" si="3"/>
        <v>157388.26949999999</v>
      </c>
      <c r="AB50" s="112">
        <f t="shared" si="4"/>
        <v>1888.659234</v>
      </c>
    </row>
    <row r="51" spans="1:28" s="155" customFormat="1" ht="38.25">
      <c r="A51" s="84">
        <v>39</v>
      </c>
      <c r="B51" s="150" t="s">
        <v>232</v>
      </c>
      <c r="C51" s="150" t="s">
        <v>236</v>
      </c>
      <c r="D51" s="154" t="s">
        <v>37</v>
      </c>
      <c r="E51" s="84">
        <v>1</v>
      </c>
      <c r="F51" s="154" t="s">
        <v>37</v>
      </c>
      <c r="G51" s="84" t="s">
        <v>326</v>
      </c>
      <c r="H51" s="82" t="s">
        <v>389</v>
      </c>
      <c r="I51" s="121">
        <v>4.62</v>
      </c>
      <c r="J51" s="111">
        <v>17697</v>
      </c>
      <c r="K51" s="83">
        <v>1.75</v>
      </c>
      <c r="L51" s="111">
        <f t="shared" si="0"/>
        <v>143080.245</v>
      </c>
      <c r="M51" s="111"/>
      <c r="N51" s="111">
        <f t="shared" si="1"/>
        <v>143080.245</v>
      </c>
      <c r="O51" s="111">
        <f t="shared" si="2"/>
        <v>14308.0245</v>
      </c>
      <c r="P51" s="111"/>
      <c r="Q51" s="162"/>
      <c r="R51" s="162"/>
      <c r="S51" s="112"/>
      <c r="T51" s="162"/>
      <c r="U51" s="112"/>
      <c r="V51" s="112"/>
      <c r="W51" s="112"/>
      <c r="X51" s="112"/>
      <c r="Y51" s="112"/>
      <c r="Z51" s="112"/>
      <c r="AA51" s="112">
        <f t="shared" si="3"/>
        <v>157388.26949999999</v>
      </c>
      <c r="AB51" s="112">
        <f t="shared" si="4"/>
        <v>1888.659234</v>
      </c>
    </row>
    <row r="52" spans="1:28" s="155" customFormat="1" ht="25.5">
      <c r="A52" s="84">
        <v>40</v>
      </c>
      <c r="B52" s="150" t="s">
        <v>232</v>
      </c>
      <c r="C52" s="150" t="s">
        <v>237</v>
      </c>
      <c r="D52" s="154" t="s">
        <v>37</v>
      </c>
      <c r="E52" s="84">
        <v>1</v>
      </c>
      <c r="F52" s="154" t="s">
        <v>37</v>
      </c>
      <c r="G52" s="84" t="s">
        <v>326</v>
      </c>
      <c r="H52" s="82" t="s">
        <v>390</v>
      </c>
      <c r="I52" s="121">
        <v>4.55</v>
      </c>
      <c r="J52" s="111">
        <v>17697</v>
      </c>
      <c r="K52" s="83">
        <v>1.75</v>
      </c>
      <c r="L52" s="111">
        <f t="shared" si="0"/>
        <v>140912.36249999999</v>
      </c>
      <c r="M52" s="111"/>
      <c r="N52" s="111">
        <f t="shared" si="1"/>
        <v>140912.36249999999</v>
      </c>
      <c r="O52" s="111">
        <f t="shared" si="2"/>
        <v>14091.23625</v>
      </c>
      <c r="P52" s="111"/>
      <c r="Q52" s="162"/>
      <c r="R52" s="162"/>
      <c r="S52" s="112"/>
      <c r="T52" s="162"/>
      <c r="U52" s="112"/>
      <c r="V52" s="112"/>
      <c r="W52" s="112"/>
      <c r="X52" s="112">
        <f>N52*40%</f>
        <v>56364.945</v>
      </c>
      <c r="Y52" s="112"/>
      <c r="Z52" s="112"/>
      <c r="AA52" s="112">
        <f t="shared" si="3"/>
        <v>211368.54374999998</v>
      </c>
      <c r="AB52" s="112">
        <f t="shared" si="4"/>
        <v>2536.422525</v>
      </c>
    </row>
    <row r="53" spans="1:28" s="155" customFormat="1" ht="25.5">
      <c r="A53" s="84">
        <v>41</v>
      </c>
      <c r="B53" s="150" t="s">
        <v>232</v>
      </c>
      <c r="C53" s="150" t="s">
        <v>238</v>
      </c>
      <c r="D53" s="154" t="s">
        <v>37</v>
      </c>
      <c r="E53" s="84">
        <v>1</v>
      </c>
      <c r="F53" s="154" t="s">
        <v>37</v>
      </c>
      <c r="G53" s="84" t="s">
        <v>326</v>
      </c>
      <c r="H53" s="83" t="s">
        <v>391</v>
      </c>
      <c r="I53" s="121">
        <v>4.6900000000000004</v>
      </c>
      <c r="J53" s="111">
        <v>17697</v>
      </c>
      <c r="K53" s="83">
        <v>1.75</v>
      </c>
      <c r="L53" s="111">
        <f t="shared" si="0"/>
        <v>145248.1275</v>
      </c>
      <c r="M53" s="111"/>
      <c r="N53" s="111">
        <f t="shared" si="1"/>
        <v>145248.1275</v>
      </c>
      <c r="O53" s="111">
        <f t="shared" si="2"/>
        <v>14524.812750000001</v>
      </c>
      <c r="P53" s="111"/>
      <c r="Q53" s="162"/>
      <c r="R53" s="162"/>
      <c r="S53" s="112"/>
      <c r="T53" s="162"/>
      <c r="U53" s="112"/>
      <c r="V53" s="112"/>
      <c r="W53" s="112"/>
      <c r="X53" s="112">
        <f>N53*40%</f>
        <v>58099.251000000004</v>
      </c>
      <c r="Y53" s="112"/>
      <c r="Z53" s="112"/>
      <c r="AA53" s="112">
        <f t="shared" si="3"/>
        <v>217872.19125000003</v>
      </c>
      <c r="AB53" s="112">
        <f t="shared" si="4"/>
        <v>2614.4662950000002</v>
      </c>
    </row>
    <row r="54" spans="1:28" s="155" customFormat="1" ht="25.5">
      <c r="A54" s="84">
        <v>42</v>
      </c>
      <c r="B54" s="150" t="s">
        <v>232</v>
      </c>
      <c r="C54" s="150" t="s">
        <v>239</v>
      </c>
      <c r="D54" s="154" t="s">
        <v>37</v>
      </c>
      <c r="E54" s="84">
        <v>1</v>
      </c>
      <c r="F54" s="154" t="s">
        <v>37</v>
      </c>
      <c r="G54" s="84" t="s">
        <v>326</v>
      </c>
      <c r="H54" s="82" t="s">
        <v>392</v>
      </c>
      <c r="I54" s="121">
        <v>4.62</v>
      </c>
      <c r="J54" s="111">
        <v>17697</v>
      </c>
      <c r="K54" s="83">
        <v>1.75</v>
      </c>
      <c r="L54" s="111">
        <f t="shared" si="0"/>
        <v>143080.245</v>
      </c>
      <c r="M54" s="111"/>
      <c r="N54" s="111">
        <f t="shared" si="1"/>
        <v>143080.245</v>
      </c>
      <c r="O54" s="111">
        <f t="shared" si="2"/>
        <v>14308.0245</v>
      </c>
      <c r="P54" s="111"/>
      <c r="Q54" s="162"/>
      <c r="R54" s="162"/>
      <c r="S54" s="112"/>
      <c r="T54" s="162"/>
      <c r="U54" s="112"/>
      <c r="V54" s="112"/>
      <c r="W54" s="112"/>
      <c r="X54" s="112">
        <f>N54*40%</f>
        <v>57232.097999999998</v>
      </c>
      <c r="Y54" s="112"/>
      <c r="Z54" s="112"/>
      <c r="AA54" s="112">
        <f t="shared" si="3"/>
        <v>214620.36749999999</v>
      </c>
      <c r="AB54" s="112">
        <f t="shared" si="4"/>
        <v>2575.4444100000001</v>
      </c>
    </row>
    <row r="55" spans="1:28" s="155" customFormat="1" ht="25.5">
      <c r="A55" s="84">
        <v>43</v>
      </c>
      <c r="B55" s="150" t="s">
        <v>232</v>
      </c>
      <c r="C55" s="150" t="s">
        <v>240</v>
      </c>
      <c r="D55" s="154" t="s">
        <v>37</v>
      </c>
      <c r="E55" s="84">
        <v>1</v>
      </c>
      <c r="F55" s="154" t="s">
        <v>37</v>
      </c>
      <c r="G55" s="84" t="s">
        <v>326</v>
      </c>
      <c r="H55" s="82" t="s">
        <v>393</v>
      </c>
      <c r="I55" s="121">
        <v>4.62</v>
      </c>
      <c r="J55" s="111">
        <v>17697</v>
      </c>
      <c r="K55" s="83">
        <v>1.75</v>
      </c>
      <c r="L55" s="111">
        <f t="shared" si="0"/>
        <v>143080.245</v>
      </c>
      <c r="M55" s="111"/>
      <c r="N55" s="111">
        <f t="shared" si="1"/>
        <v>143080.245</v>
      </c>
      <c r="O55" s="111">
        <f t="shared" si="2"/>
        <v>14308.0245</v>
      </c>
      <c r="P55" s="111"/>
      <c r="Q55" s="162"/>
      <c r="R55" s="162"/>
      <c r="S55" s="112"/>
      <c r="T55" s="162"/>
      <c r="U55" s="112"/>
      <c r="V55" s="112"/>
      <c r="W55" s="112"/>
      <c r="X55" s="112">
        <f>N55*40%</f>
        <v>57232.097999999998</v>
      </c>
      <c r="Y55" s="112"/>
      <c r="Z55" s="112"/>
      <c r="AA55" s="112">
        <f t="shared" si="3"/>
        <v>214620.36749999999</v>
      </c>
      <c r="AB55" s="112">
        <f t="shared" si="4"/>
        <v>2575.4444100000001</v>
      </c>
    </row>
    <row r="56" spans="1:28" s="155" customFormat="1" ht="25.5">
      <c r="A56" s="84">
        <v>44</v>
      </c>
      <c r="B56" s="150" t="s">
        <v>232</v>
      </c>
      <c r="C56" s="150" t="s">
        <v>241</v>
      </c>
      <c r="D56" s="154" t="s">
        <v>37</v>
      </c>
      <c r="E56" s="84">
        <v>1</v>
      </c>
      <c r="F56" s="154" t="s">
        <v>69</v>
      </c>
      <c r="G56" s="84" t="s">
        <v>327</v>
      </c>
      <c r="H56" s="82" t="s">
        <v>394</v>
      </c>
      <c r="I56" s="121">
        <v>4.37</v>
      </c>
      <c r="J56" s="111">
        <v>17697</v>
      </c>
      <c r="K56" s="83">
        <v>1.75</v>
      </c>
      <c r="L56" s="111">
        <f t="shared" si="0"/>
        <v>135337.8075</v>
      </c>
      <c r="M56" s="111"/>
      <c r="N56" s="111">
        <f t="shared" si="1"/>
        <v>135337.8075</v>
      </c>
      <c r="O56" s="111">
        <f t="shared" si="2"/>
        <v>13533.78075</v>
      </c>
      <c r="P56" s="111"/>
      <c r="Q56" s="162"/>
      <c r="R56" s="162"/>
      <c r="S56" s="112"/>
      <c r="T56" s="162"/>
      <c r="U56" s="112"/>
      <c r="V56" s="112"/>
      <c r="W56" s="112"/>
      <c r="X56" s="112"/>
      <c r="Y56" s="112"/>
      <c r="Z56" s="112"/>
      <c r="AA56" s="112">
        <f t="shared" si="3"/>
        <v>148871.58825</v>
      </c>
      <c r="AB56" s="112">
        <f t="shared" si="4"/>
        <v>1786.4590589999998</v>
      </c>
    </row>
    <row r="57" spans="1:28" s="155" customFormat="1" ht="38.25">
      <c r="A57" s="84">
        <v>45</v>
      </c>
      <c r="B57" s="150" t="s">
        <v>232</v>
      </c>
      <c r="C57" s="150" t="s">
        <v>242</v>
      </c>
      <c r="D57" s="154" t="s">
        <v>37</v>
      </c>
      <c r="E57" s="84">
        <v>1</v>
      </c>
      <c r="F57" s="154" t="s">
        <v>37</v>
      </c>
      <c r="G57" s="84" t="s">
        <v>326</v>
      </c>
      <c r="H57" s="82" t="s">
        <v>395</v>
      </c>
      <c r="I57" s="121">
        <v>4.62</v>
      </c>
      <c r="J57" s="111">
        <v>17697</v>
      </c>
      <c r="K57" s="83">
        <v>1.75</v>
      </c>
      <c r="L57" s="111">
        <f t="shared" si="0"/>
        <v>143080.245</v>
      </c>
      <c r="M57" s="111"/>
      <c r="N57" s="111">
        <f t="shared" si="1"/>
        <v>143080.245</v>
      </c>
      <c r="O57" s="111">
        <f t="shared" si="2"/>
        <v>14308.0245</v>
      </c>
      <c r="P57" s="111"/>
      <c r="Q57" s="162"/>
      <c r="R57" s="162"/>
      <c r="S57" s="112"/>
      <c r="T57" s="162"/>
      <c r="U57" s="112"/>
      <c r="V57" s="112"/>
      <c r="W57" s="112"/>
      <c r="X57" s="112">
        <f>N57*40%</f>
        <v>57232.097999999998</v>
      </c>
      <c r="Y57" s="112"/>
      <c r="Z57" s="112"/>
      <c r="AA57" s="112">
        <f t="shared" si="3"/>
        <v>214620.36749999999</v>
      </c>
      <c r="AB57" s="112">
        <f t="shared" si="4"/>
        <v>2575.4444100000001</v>
      </c>
    </row>
    <row r="58" spans="1:28" s="155" customFormat="1" ht="25.5">
      <c r="A58" s="84">
        <v>46</v>
      </c>
      <c r="B58" s="150" t="s">
        <v>232</v>
      </c>
      <c r="C58" s="150" t="s">
        <v>243</v>
      </c>
      <c r="D58" s="154" t="s">
        <v>37</v>
      </c>
      <c r="E58" s="84">
        <v>1</v>
      </c>
      <c r="F58" s="154" t="s">
        <v>37</v>
      </c>
      <c r="G58" s="84" t="s">
        <v>326</v>
      </c>
      <c r="H58" s="82" t="s">
        <v>395</v>
      </c>
      <c r="I58" s="121">
        <v>4.62</v>
      </c>
      <c r="J58" s="111">
        <v>17697</v>
      </c>
      <c r="K58" s="83">
        <v>1.75</v>
      </c>
      <c r="L58" s="111">
        <f t="shared" si="0"/>
        <v>143080.245</v>
      </c>
      <c r="M58" s="111"/>
      <c r="N58" s="111">
        <f t="shared" si="1"/>
        <v>143080.245</v>
      </c>
      <c r="O58" s="111">
        <f t="shared" si="2"/>
        <v>14308.0245</v>
      </c>
      <c r="P58" s="111"/>
      <c r="Q58" s="162"/>
      <c r="R58" s="162"/>
      <c r="S58" s="112"/>
      <c r="T58" s="162"/>
      <c r="U58" s="112"/>
      <c r="V58" s="112"/>
      <c r="W58" s="112"/>
      <c r="X58" s="112">
        <f>N58*40%</f>
        <v>57232.097999999998</v>
      </c>
      <c r="Y58" s="112"/>
      <c r="Z58" s="112"/>
      <c r="AA58" s="112">
        <f t="shared" si="3"/>
        <v>214620.36749999999</v>
      </c>
      <c r="AB58" s="112">
        <f t="shared" si="4"/>
        <v>2575.4444100000001</v>
      </c>
    </row>
    <row r="59" spans="1:28" s="155" customFormat="1" ht="25.5">
      <c r="A59" s="84">
        <v>47</v>
      </c>
      <c r="B59" s="150" t="s">
        <v>232</v>
      </c>
      <c r="C59" s="150" t="s">
        <v>244</v>
      </c>
      <c r="D59" s="154" t="s">
        <v>37</v>
      </c>
      <c r="E59" s="84">
        <v>1</v>
      </c>
      <c r="F59" s="154" t="s">
        <v>69</v>
      </c>
      <c r="G59" s="84" t="s">
        <v>327</v>
      </c>
      <c r="H59" s="82" t="s">
        <v>396</v>
      </c>
      <c r="I59" s="121">
        <v>4.3</v>
      </c>
      <c r="J59" s="111">
        <v>17697</v>
      </c>
      <c r="K59" s="83">
        <v>1.75</v>
      </c>
      <c r="L59" s="111">
        <f t="shared" si="0"/>
        <v>133169.92499999999</v>
      </c>
      <c r="M59" s="111"/>
      <c r="N59" s="111">
        <f t="shared" si="1"/>
        <v>133169.92499999999</v>
      </c>
      <c r="O59" s="111">
        <f t="shared" si="2"/>
        <v>13316.9925</v>
      </c>
      <c r="P59" s="111"/>
      <c r="Q59" s="162"/>
      <c r="R59" s="162"/>
      <c r="S59" s="112"/>
      <c r="T59" s="162"/>
      <c r="U59" s="112"/>
      <c r="V59" s="112"/>
      <c r="W59" s="112"/>
      <c r="X59" s="112"/>
      <c r="Y59" s="112"/>
      <c r="Z59" s="112"/>
      <c r="AA59" s="112">
        <f t="shared" si="3"/>
        <v>146486.91749999998</v>
      </c>
      <c r="AB59" s="112">
        <f t="shared" si="4"/>
        <v>1757.8430099999998</v>
      </c>
    </row>
    <row r="60" spans="1:28" s="155" customFormat="1" ht="25.5">
      <c r="A60" s="84">
        <v>48</v>
      </c>
      <c r="B60" s="150" t="s">
        <v>232</v>
      </c>
      <c r="C60" s="150" t="s">
        <v>245</v>
      </c>
      <c r="D60" s="154" t="s">
        <v>37</v>
      </c>
      <c r="E60" s="84">
        <v>1</v>
      </c>
      <c r="F60" s="154" t="s">
        <v>69</v>
      </c>
      <c r="G60" s="84" t="s">
        <v>327</v>
      </c>
      <c r="H60" s="82" t="s">
        <v>397</v>
      </c>
      <c r="I60" s="121">
        <v>4.51</v>
      </c>
      <c r="J60" s="111">
        <v>17697</v>
      </c>
      <c r="K60" s="83">
        <v>1.75</v>
      </c>
      <c r="L60" s="111">
        <f t="shared" si="0"/>
        <v>139673.57250000001</v>
      </c>
      <c r="M60" s="111"/>
      <c r="N60" s="111">
        <f t="shared" si="1"/>
        <v>139673.57250000001</v>
      </c>
      <c r="O60" s="111">
        <f t="shared" si="2"/>
        <v>13967.357250000001</v>
      </c>
      <c r="P60" s="111"/>
      <c r="Q60" s="162"/>
      <c r="R60" s="162"/>
      <c r="S60" s="112"/>
      <c r="T60" s="162"/>
      <c r="U60" s="112"/>
      <c r="V60" s="112"/>
      <c r="W60" s="112">
        <f>L60*35%</f>
        <v>48885.750375000003</v>
      </c>
      <c r="X60" s="112"/>
      <c r="Y60" s="112"/>
      <c r="Z60" s="112"/>
      <c r="AA60" s="112">
        <f t="shared" si="3"/>
        <v>202526.68012500001</v>
      </c>
      <c r="AB60" s="112">
        <f t="shared" si="4"/>
        <v>2430.3201615000003</v>
      </c>
    </row>
    <row r="61" spans="1:28" s="155" customFormat="1" ht="25.5">
      <c r="A61" s="84">
        <v>49</v>
      </c>
      <c r="B61" s="150" t="s">
        <v>232</v>
      </c>
      <c r="C61" s="150" t="s">
        <v>246</v>
      </c>
      <c r="D61" s="154" t="s">
        <v>37</v>
      </c>
      <c r="E61" s="84">
        <v>1</v>
      </c>
      <c r="F61" s="154" t="s">
        <v>70</v>
      </c>
      <c r="G61" s="84" t="s">
        <v>328</v>
      </c>
      <c r="H61" s="82" t="s">
        <v>393</v>
      </c>
      <c r="I61" s="121">
        <v>4.3600000000000003</v>
      </c>
      <c r="J61" s="111">
        <v>17697</v>
      </c>
      <c r="K61" s="83">
        <v>1.75</v>
      </c>
      <c r="L61" s="111">
        <f t="shared" si="0"/>
        <v>135028.11000000002</v>
      </c>
      <c r="M61" s="111"/>
      <c r="N61" s="111">
        <f t="shared" si="1"/>
        <v>135028.11000000002</v>
      </c>
      <c r="O61" s="111">
        <f t="shared" si="2"/>
        <v>13502.811000000002</v>
      </c>
      <c r="P61" s="111"/>
      <c r="Q61" s="162"/>
      <c r="R61" s="162"/>
      <c r="S61" s="112"/>
      <c r="T61" s="162"/>
      <c r="U61" s="112"/>
      <c r="V61" s="112"/>
      <c r="W61" s="112"/>
      <c r="X61" s="112"/>
      <c r="Y61" s="112"/>
      <c r="Z61" s="112"/>
      <c r="AA61" s="112">
        <f t="shared" si="3"/>
        <v>148530.92100000003</v>
      </c>
      <c r="AB61" s="112">
        <f t="shared" si="4"/>
        <v>1782.3710520000004</v>
      </c>
    </row>
    <row r="62" spans="1:28" s="155" customFormat="1" ht="25.5">
      <c r="A62" s="84">
        <v>50</v>
      </c>
      <c r="B62" s="150" t="s">
        <v>232</v>
      </c>
      <c r="C62" s="150" t="s">
        <v>247</v>
      </c>
      <c r="D62" s="154" t="s">
        <v>37</v>
      </c>
      <c r="E62" s="84">
        <v>1</v>
      </c>
      <c r="F62" s="154" t="s">
        <v>69</v>
      </c>
      <c r="G62" s="84" t="s">
        <v>327</v>
      </c>
      <c r="H62" s="82" t="s">
        <v>396</v>
      </c>
      <c r="I62" s="121">
        <v>4.3</v>
      </c>
      <c r="J62" s="111">
        <v>17697</v>
      </c>
      <c r="K62" s="83">
        <v>1.75</v>
      </c>
      <c r="L62" s="111">
        <f t="shared" si="0"/>
        <v>133169.92499999999</v>
      </c>
      <c r="M62" s="111"/>
      <c r="N62" s="111">
        <f t="shared" si="1"/>
        <v>133169.92499999999</v>
      </c>
      <c r="O62" s="111">
        <f t="shared" si="2"/>
        <v>13316.9925</v>
      </c>
      <c r="P62" s="111"/>
      <c r="Q62" s="162"/>
      <c r="R62" s="162"/>
      <c r="S62" s="112"/>
      <c r="T62" s="162"/>
      <c r="U62" s="112"/>
      <c r="V62" s="112"/>
      <c r="W62" s="112">
        <f>L62*35%</f>
        <v>46609.47374999999</v>
      </c>
      <c r="X62" s="112"/>
      <c r="Y62" s="112"/>
      <c r="Z62" s="112"/>
      <c r="AA62" s="112">
        <f t="shared" si="3"/>
        <v>193096.39124999999</v>
      </c>
      <c r="AB62" s="112">
        <f t="shared" si="4"/>
        <v>2317.1566949999997</v>
      </c>
    </row>
    <row r="63" spans="1:28" s="155" customFormat="1" ht="25.5">
      <c r="A63" s="84">
        <v>51</v>
      </c>
      <c r="B63" s="150" t="s">
        <v>232</v>
      </c>
      <c r="C63" s="150" t="s">
        <v>248</v>
      </c>
      <c r="D63" s="154" t="s">
        <v>37</v>
      </c>
      <c r="E63" s="84">
        <v>1</v>
      </c>
      <c r="F63" s="154" t="s">
        <v>70</v>
      </c>
      <c r="G63" s="84" t="s">
        <v>328</v>
      </c>
      <c r="H63" s="82" t="s">
        <v>398</v>
      </c>
      <c r="I63" s="121">
        <v>4.28</v>
      </c>
      <c r="J63" s="111">
        <v>17697</v>
      </c>
      <c r="K63" s="83">
        <v>1.75</v>
      </c>
      <c r="L63" s="111">
        <f t="shared" si="0"/>
        <v>132550.53</v>
      </c>
      <c r="M63" s="111"/>
      <c r="N63" s="111">
        <f t="shared" si="1"/>
        <v>132550.53</v>
      </c>
      <c r="O63" s="111">
        <f t="shared" si="2"/>
        <v>13255.053</v>
      </c>
      <c r="P63" s="111"/>
      <c r="Q63" s="162"/>
      <c r="R63" s="162"/>
      <c r="S63" s="112"/>
      <c r="T63" s="162"/>
      <c r="U63" s="112"/>
      <c r="V63" s="112"/>
      <c r="W63" s="112"/>
      <c r="X63" s="112"/>
      <c r="Y63" s="112"/>
      <c r="Z63" s="112"/>
      <c r="AA63" s="112">
        <f t="shared" si="3"/>
        <v>145805.58299999998</v>
      </c>
      <c r="AB63" s="112">
        <f t="shared" si="4"/>
        <v>1749.6669959999997</v>
      </c>
    </row>
    <row r="64" spans="1:28" s="155" customFormat="1" ht="25.5">
      <c r="A64" s="84">
        <v>52</v>
      </c>
      <c r="B64" s="150" t="s">
        <v>232</v>
      </c>
      <c r="C64" s="150" t="s">
        <v>249</v>
      </c>
      <c r="D64" s="154" t="s">
        <v>37</v>
      </c>
      <c r="E64" s="84">
        <v>1</v>
      </c>
      <c r="F64" s="154" t="s">
        <v>70</v>
      </c>
      <c r="G64" s="84" t="s">
        <v>328</v>
      </c>
      <c r="H64" s="82" t="s">
        <v>399</v>
      </c>
      <c r="I64" s="121">
        <v>4.28</v>
      </c>
      <c r="J64" s="111">
        <v>17697</v>
      </c>
      <c r="K64" s="83">
        <v>1.75</v>
      </c>
      <c r="L64" s="111">
        <f t="shared" si="0"/>
        <v>132550.53</v>
      </c>
      <c r="M64" s="111"/>
      <c r="N64" s="111">
        <f t="shared" si="1"/>
        <v>132550.53</v>
      </c>
      <c r="O64" s="111">
        <f t="shared" si="2"/>
        <v>13255.053</v>
      </c>
      <c r="P64" s="111"/>
      <c r="Q64" s="162"/>
      <c r="R64" s="162"/>
      <c r="S64" s="112"/>
      <c r="T64" s="162"/>
      <c r="U64" s="112"/>
      <c r="V64" s="112"/>
      <c r="W64" s="112"/>
      <c r="X64" s="112"/>
      <c r="Y64" s="112"/>
      <c r="Z64" s="112"/>
      <c r="AA64" s="112">
        <f t="shared" si="3"/>
        <v>145805.58299999998</v>
      </c>
      <c r="AB64" s="112">
        <f t="shared" si="4"/>
        <v>1749.6669959999997</v>
      </c>
    </row>
    <row r="65" spans="1:28" s="155" customFormat="1" ht="38.25">
      <c r="A65" s="84">
        <v>53</v>
      </c>
      <c r="B65" s="150" t="s">
        <v>232</v>
      </c>
      <c r="C65" s="150" t="s">
        <v>250</v>
      </c>
      <c r="D65" s="154" t="s">
        <v>37</v>
      </c>
      <c r="E65" s="84">
        <v>1</v>
      </c>
      <c r="F65" s="154"/>
      <c r="G65" s="84" t="s">
        <v>329</v>
      </c>
      <c r="H65" s="82" t="s">
        <v>400</v>
      </c>
      <c r="I65" s="121">
        <v>4</v>
      </c>
      <c r="J65" s="111">
        <v>17697</v>
      </c>
      <c r="K65" s="83">
        <v>1.75</v>
      </c>
      <c r="L65" s="111">
        <f t="shared" si="0"/>
        <v>123879</v>
      </c>
      <c r="M65" s="111"/>
      <c r="N65" s="111">
        <f t="shared" si="1"/>
        <v>123879</v>
      </c>
      <c r="O65" s="111">
        <f t="shared" si="2"/>
        <v>12387.900000000001</v>
      </c>
      <c r="P65" s="111"/>
      <c r="Q65" s="162"/>
      <c r="R65" s="162"/>
      <c r="S65" s="112"/>
      <c r="T65" s="162"/>
      <c r="U65" s="112"/>
      <c r="V65" s="112"/>
      <c r="W65" s="112"/>
      <c r="X65" s="112"/>
      <c r="Y65" s="112"/>
      <c r="Z65" s="112"/>
      <c r="AA65" s="112">
        <f t="shared" si="3"/>
        <v>136266.9</v>
      </c>
      <c r="AB65" s="112">
        <f t="shared" si="4"/>
        <v>1635.2027999999998</v>
      </c>
    </row>
    <row r="66" spans="1:28" s="155" customFormat="1" ht="38.25">
      <c r="A66" s="84">
        <v>54</v>
      </c>
      <c r="B66" s="150" t="s">
        <v>232</v>
      </c>
      <c r="C66" s="150" t="s">
        <v>251</v>
      </c>
      <c r="D66" s="154" t="s">
        <v>37</v>
      </c>
      <c r="E66" s="84">
        <v>1</v>
      </c>
      <c r="F66" s="154" t="s">
        <v>69</v>
      </c>
      <c r="G66" s="84" t="s">
        <v>327</v>
      </c>
      <c r="H66" s="82" t="s">
        <v>390</v>
      </c>
      <c r="I66" s="121">
        <v>4.3</v>
      </c>
      <c r="J66" s="111">
        <v>17697</v>
      </c>
      <c r="K66" s="83">
        <v>1.75</v>
      </c>
      <c r="L66" s="111">
        <f t="shared" si="0"/>
        <v>133169.92499999999</v>
      </c>
      <c r="M66" s="111"/>
      <c r="N66" s="111">
        <f t="shared" si="1"/>
        <v>133169.92499999999</v>
      </c>
      <c r="O66" s="111">
        <f t="shared" si="2"/>
        <v>13316.9925</v>
      </c>
      <c r="P66" s="111"/>
      <c r="Q66" s="162"/>
      <c r="R66" s="162"/>
      <c r="S66" s="112"/>
      <c r="T66" s="162"/>
      <c r="U66" s="112"/>
      <c r="V66" s="112"/>
      <c r="W66" s="112">
        <f>L66*35%</f>
        <v>46609.47374999999</v>
      </c>
      <c r="X66" s="112"/>
      <c r="Y66" s="112"/>
      <c r="Z66" s="112"/>
      <c r="AA66" s="112">
        <f t="shared" si="3"/>
        <v>193096.39124999999</v>
      </c>
      <c r="AB66" s="112">
        <f t="shared" si="4"/>
        <v>2317.1566949999997</v>
      </c>
    </row>
    <row r="67" spans="1:28" s="155" customFormat="1" ht="25.5">
      <c r="A67" s="84">
        <v>55</v>
      </c>
      <c r="B67" s="150" t="s">
        <v>232</v>
      </c>
      <c r="C67" s="150" t="s">
        <v>252</v>
      </c>
      <c r="D67" s="154" t="s">
        <v>37</v>
      </c>
      <c r="E67" s="84">
        <v>1</v>
      </c>
      <c r="F67" s="154"/>
      <c r="G67" s="84" t="s">
        <v>329</v>
      </c>
      <c r="H67" s="83" t="s">
        <v>371</v>
      </c>
      <c r="I67" s="121">
        <v>4</v>
      </c>
      <c r="J67" s="111">
        <v>17697</v>
      </c>
      <c r="K67" s="83">
        <v>1.75</v>
      </c>
      <c r="L67" s="111">
        <f t="shared" si="0"/>
        <v>123879</v>
      </c>
      <c r="M67" s="111"/>
      <c r="N67" s="111">
        <f t="shared" si="1"/>
        <v>123879</v>
      </c>
      <c r="O67" s="111">
        <f t="shared" si="2"/>
        <v>12387.900000000001</v>
      </c>
      <c r="P67" s="111"/>
      <c r="Q67" s="162"/>
      <c r="R67" s="162"/>
      <c r="S67" s="112"/>
      <c r="T67" s="162"/>
      <c r="U67" s="112"/>
      <c r="V67" s="112"/>
      <c r="W67" s="112"/>
      <c r="X67" s="112"/>
      <c r="Y67" s="112"/>
      <c r="Z67" s="112"/>
      <c r="AA67" s="112">
        <f t="shared" si="3"/>
        <v>136266.9</v>
      </c>
      <c r="AB67" s="112">
        <f t="shared" si="4"/>
        <v>1635.2027999999998</v>
      </c>
    </row>
    <row r="68" spans="1:28" s="155" customFormat="1" ht="25.5">
      <c r="A68" s="84">
        <v>56</v>
      </c>
      <c r="B68" s="150" t="s">
        <v>232</v>
      </c>
      <c r="C68" s="150" t="s">
        <v>253</v>
      </c>
      <c r="D68" s="154" t="s">
        <v>37</v>
      </c>
      <c r="E68" s="84">
        <v>1</v>
      </c>
      <c r="F68" s="154" t="s">
        <v>69</v>
      </c>
      <c r="G68" s="84" t="s">
        <v>327</v>
      </c>
      <c r="H68" s="82" t="s">
        <v>379</v>
      </c>
      <c r="I68" s="121">
        <v>4.2300000000000004</v>
      </c>
      <c r="J68" s="111">
        <v>17697</v>
      </c>
      <c r="K68" s="83">
        <v>1.75</v>
      </c>
      <c r="L68" s="111">
        <f t="shared" si="0"/>
        <v>131002.04250000003</v>
      </c>
      <c r="M68" s="111"/>
      <c r="N68" s="111">
        <f t="shared" si="1"/>
        <v>131002.04250000003</v>
      </c>
      <c r="O68" s="111">
        <f t="shared" si="2"/>
        <v>13100.204250000003</v>
      </c>
      <c r="P68" s="111"/>
      <c r="Q68" s="162"/>
      <c r="R68" s="162"/>
      <c r="S68" s="112"/>
      <c r="T68" s="162"/>
      <c r="U68" s="112"/>
      <c r="V68" s="112"/>
      <c r="W68" s="112">
        <f>L68*35%</f>
        <v>45850.714875000005</v>
      </c>
      <c r="X68" s="112"/>
      <c r="Y68" s="112"/>
      <c r="Z68" s="112"/>
      <c r="AA68" s="112">
        <f t="shared" si="3"/>
        <v>189952.96162500003</v>
      </c>
      <c r="AB68" s="112">
        <f t="shared" si="4"/>
        <v>2279.4355395000002</v>
      </c>
    </row>
    <row r="69" spans="1:28" s="155" customFormat="1" ht="38.25">
      <c r="A69" s="84">
        <v>57</v>
      </c>
      <c r="B69" s="150" t="s">
        <v>232</v>
      </c>
      <c r="C69" s="150" t="s">
        <v>254</v>
      </c>
      <c r="D69" s="154" t="s">
        <v>37</v>
      </c>
      <c r="E69" s="84">
        <v>1</v>
      </c>
      <c r="F69" s="154" t="s">
        <v>70</v>
      </c>
      <c r="G69" s="84" t="s">
        <v>328</v>
      </c>
      <c r="H69" s="82" t="s">
        <v>379</v>
      </c>
      <c r="I69" s="121">
        <v>4.21</v>
      </c>
      <c r="J69" s="111">
        <v>17697</v>
      </c>
      <c r="K69" s="83">
        <v>1.75</v>
      </c>
      <c r="L69" s="111">
        <f t="shared" si="0"/>
        <v>130382.64749999999</v>
      </c>
      <c r="M69" s="111"/>
      <c r="N69" s="111">
        <f t="shared" si="1"/>
        <v>130382.64749999999</v>
      </c>
      <c r="O69" s="111">
        <f t="shared" si="2"/>
        <v>13038.26475</v>
      </c>
      <c r="P69" s="111"/>
      <c r="Q69" s="162"/>
      <c r="R69" s="162"/>
      <c r="S69" s="112"/>
      <c r="T69" s="162"/>
      <c r="U69" s="112"/>
      <c r="V69" s="112"/>
      <c r="W69" s="112"/>
      <c r="X69" s="112"/>
      <c r="Y69" s="112"/>
      <c r="Z69" s="112"/>
      <c r="AA69" s="112">
        <f t="shared" si="3"/>
        <v>143420.91224999999</v>
      </c>
      <c r="AB69" s="112">
        <f t="shared" si="4"/>
        <v>1721.050947</v>
      </c>
    </row>
    <row r="70" spans="1:28" s="155" customFormat="1" ht="38.25">
      <c r="A70" s="84">
        <v>58</v>
      </c>
      <c r="B70" s="150" t="s">
        <v>232</v>
      </c>
      <c r="C70" s="150" t="s">
        <v>255</v>
      </c>
      <c r="D70" s="154" t="s">
        <v>37</v>
      </c>
      <c r="E70" s="84">
        <v>1</v>
      </c>
      <c r="F70" s="154" t="s">
        <v>37</v>
      </c>
      <c r="G70" s="84" t="s">
        <v>326</v>
      </c>
      <c r="H70" s="82" t="s">
        <v>401</v>
      </c>
      <c r="I70" s="121">
        <v>4.49</v>
      </c>
      <c r="J70" s="111">
        <v>17697</v>
      </c>
      <c r="K70" s="83">
        <v>1.75</v>
      </c>
      <c r="L70" s="111">
        <f t="shared" si="0"/>
        <v>139054.17749999999</v>
      </c>
      <c r="M70" s="111"/>
      <c r="N70" s="111">
        <f t="shared" si="1"/>
        <v>139054.17749999999</v>
      </c>
      <c r="O70" s="111">
        <f t="shared" si="2"/>
        <v>13905.417750000001</v>
      </c>
      <c r="P70" s="111"/>
      <c r="Q70" s="162"/>
      <c r="R70" s="162"/>
      <c r="S70" s="112"/>
      <c r="T70" s="162"/>
      <c r="U70" s="112"/>
      <c r="V70" s="112"/>
      <c r="W70" s="112"/>
      <c r="X70" s="112">
        <f>N70*40%</f>
        <v>55621.671000000002</v>
      </c>
      <c r="Y70" s="112"/>
      <c r="Z70" s="112"/>
      <c r="AA70" s="112">
        <f t="shared" si="3"/>
        <v>208581.26624999999</v>
      </c>
      <c r="AB70" s="112">
        <f t="shared" si="4"/>
        <v>2502.975195</v>
      </c>
    </row>
    <row r="71" spans="1:28" s="155" customFormat="1" ht="38.25">
      <c r="A71" s="84">
        <v>59</v>
      </c>
      <c r="B71" s="150" t="s">
        <v>232</v>
      </c>
      <c r="C71" s="150" t="s">
        <v>256</v>
      </c>
      <c r="D71" s="154" t="s">
        <v>37</v>
      </c>
      <c r="E71" s="84">
        <v>1</v>
      </c>
      <c r="F71" s="154" t="s">
        <v>69</v>
      </c>
      <c r="G71" s="84" t="s">
        <v>327</v>
      </c>
      <c r="H71" s="82" t="s">
        <v>402</v>
      </c>
      <c r="I71" s="121">
        <v>4.2300000000000004</v>
      </c>
      <c r="J71" s="111">
        <v>17697</v>
      </c>
      <c r="K71" s="83">
        <v>1.75</v>
      </c>
      <c r="L71" s="111">
        <f t="shared" si="0"/>
        <v>131002.04250000003</v>
      </c>
      <c r="M71" s="111"/>
      <c r="N71" s="111">
        <f t="shared" si="1"/>
        <v>131002.04250000003</v>
      </c>
      <c r="O71" s="111">
        <f t="shared" si="2"/>
        <v>13100.204250000003</v>
      </c>
      <c r="P71" s="111"/>
      <c r="Q71" s="162"/>
      <c r="R71" s="162"/>
      <c r="S71" s="112"/>
      <c r="T71" s="162"/>
      <c r="U71" s="112"/>
      <c r="V71" s="112"/>
      <c r="W71" s="112">
        <f>L71*35%</f>
        <v>45850.714875000005</v>
      </c>
      <c r="X71" s="112"/>
      <c r="Y71" s="112"/>
      <c r="Z71" s="112"/>
      <c r="AA71" s="112">
        <f t="shared" si="3"/>
        <v>189952.96162500003</v>
      </c>
      <c r="AB71" s="112">
        <f t="shared" si="4"/>
        <v>2279.4355395000002</v>
      </c>
    </row>
    <row r="72" spans="1:28" s="155" customFormat="1" ht="25.5">
      <c r="A72" s="84">
        <v>60</v>
      </c>
      <c r="B72" s="150" t="s">
        <v>232</v>
      </c>
      <c r="C72" s="150" t="s">
        <v>136</v>
      </c>
      <c r="D72" s="154" t="s">
        <v>37</v>
      </c>
      <c r="E72" s="84">
        <v>1</v>
      </c>
      <c r="F72" s="154" t="s">
        <v>69</v>
      </c>
      <c r="G72" s="84" t="s">
        <v>327</v>
      </c>
      <c r="H72" s="82" t="s">
        <v>403</v>
      </c>
      <c r="I72" s="121">
        <v>4.16</v>
      </c>
      <c r="J72" s="111">
        <v>17697</v>
      </c>
      <c r="K72" s="83">
        <v>1.75</v>
      </c>
      <c r="L72" s="111">
        <f t="shared" si="0"/>
        <v>128834.16</v>
      </c>
      <c r="M72" s="111"/>
      <c r="N72" s="111">
        <f t="shared" si="1"/>
        <v>128834.16</v>
      </c>
      <c r="O72" s="111">
        <f t="shared" si="2"/>
        <v>12883.416000000001</v>
      </c>
      <c r="P72" s="111"/>
      <c r="Q72" s="162"/>
      <c r="R72" s="162"/>
      <c r="S72" s="112"/>
      <c r="T72" s="162"/>
      <c r="U72" s="112"/>
      <c r="V72" s="112"/>
      <c r="W72" s="112">
        <f>L72*35%</f>
        <v>45091.955999999998</v>
      </c>
      <c r="X72" s="112"/>
      <c r="Y72" s="112"/>
      <c r="Z72" s="112"/>
      <c r="AA72" s="112">
        <f t="shared" si="3"/>
        <v>186809.53200000001</v>
      </c>
      <c r="AB72" s="112">
        <f t="shared" si="4"/>
        <v>2241.7143839999999</v>
      </c>
    </row>
    <row r="73" spans="1:28" s="155" customFormat="1" ht="25.5">
      <c r="A73" s="84">
        <v>61</v>
      </c>
      <c r="B73" s="150" t="s">
        <v>232</v>
      </c>
      <c r="C73" s="150" t="s">
        <v>257</v>
      </c>
      <c r="D73" s="154" t="s">
        <v>37</v>
      </c>
      <c r="E73" s="84">
        <v>1</v>
      </c>
      <c r="F73" s="154" t="s">
        <v>69</v>
      </c>
      <c r="G73" s="84" t="s">
        <v>327</v>
      </c>
      <c r="H73" s="82" t="s">
        <v>371</v>
      </c>
      <c r="I73" s="121">
        <v>4.3</v>
      </c>
      <c r="J73" s="111">
        <v>17697</v>
      </c>
      <c r="K73" s="83">
        <v>1.75</v>
      </c>
      <c r="L73" s="111">
        <f t="shared" si="0"/>
        <v>133169.92499999999</v>
      </c>
      <c r="M73" s="111"/>
      <c r="N73" s="111">
        <f t="shared" si="1"/>
        <v>133169.92499999999</v>
      </c>
      <c r="O73" s="111">
        <f t="shared" si="2"/>
        <v>13316.9925</v>
      </c>
      <c r="P73" s="111"/>
      <c r="Q73" s="162"/>
      <c r="R73" s="162"/>
      <c r="S73" s="112"/>
      <c r="T73" s="162"/>
      <c r="U73" s="112"/>
      <c r="V73" s="112"/>
      <c r="W73" s="112">
        <f>L73*35%</f>
        <v>46609.47374999999</v>
      </c>
      <c r="X73" s="112"/>
      <c r="Y73" s="112"/>
      <c r="Z73" s="112"/>
      <c r="AA73" s="112">
        <f t="shared" si="3"/>
        <v>193096.39124999999</v>
      </c>
      <c r="AB73" s="112">
        <f t="shared" si="4"/>
        <v>2317.1566949999997</v>
      </c>
    </row>
    <row r="74" spans="1:28" s="155" customFormat="1" ht="25.5">
      <c r="A74" s="84">
        <v>62</v>
      </c>
      <c r="B74" s="150" t="s">
        <v>232</v>
      </c>
      <c r="C74" s="150" t="s">
        <v>258</v>
      </c>
      <c r="D74" s="154" t="s">
        <v>37</v>
      </c>
      <c r="E74" s="84">
        <v>1</v>
      </c>
      <c r="F74" s="154" t="s">
        <v>69</v>
      </c>
      <c r="G74" s="84" t="s">
        <v>327</v>
      </c>
      <c r="H74" s="83" t="s">
        <v>404</v>
      </c>
      <c r="I74" s="121">
        <v>4.2300000000000004</v>
      </c>
      <c r="J74" s="111">
        <v>17697</v>
      </c>
      <c r="K74" s="83">
        <v>1.75</v>
      </c>
      <c r="L74" s="111">
        <f t="shared" si="0"/>
        <v>131002.04250000003</v>
      </c>
      <c r="M74" s="111"/>
      <c r="N74" s="111">
        <f t="shared" si="1"/>
        <v>131002.04250000003</v>
      </c>
      <c r="O74" s="111">
        <f t="shared" si="2"/>
        <v>13100.204250000003</v>
      </c>
      <c r="P74" s="111"/>
      <c r="Q74" s="162"/>
      <c r="R74" s="162"/>
      <c r="S74" s="112"/>
      <c r="T74" s="162"/>
      <c r="U74" s="112"/>
      <c r="V74" s="112"/>
      <c r="W74" s="112">
        <f>L74*35%</f>
        <v>45850.714875000005</v>
      </c>
      <c r="X74" s="112"/>
      <c r="Y74" s="112"/>
      <c r="Z74" s="112"/>
      <c r="AA74" s="112">
        <f t="shared" si="3"/>
        <v>189952.96162500003</v>
      </c>
      <c r="AB74" s="112">
        <f t="shared" si="4"/>
        <v>2279.4355395000002</v>
      </c>
    </row>
    <row r="75" spans="1:28" s="155" customFormat="1" ht="25.5">
      <c r="A75" s="84">
        <v>63</v>
      </c>
      <c r="B75" s="150" t="s">
        <v>232</v>
      </c>
      <c r="C75" s="150" t="s">
        <v>259</v>
      </c>
      <c r="D75" s="154" t="s">
        <v>37</v>
      </c>
      <c r="E75" s="84">
        <v>1</v>
      </c>
      <c r="F75" s="154" t="s">
        <v>70</v>
      </c>
      <c r="G75" s="84" t="s">
        <v>330</v>
      </c>
      <c r="H75" s="84" t="s">
        <v>405</v>
      </c>
      <c r="I75" s="123">
        <v>4.28</v>
      </c>
      <c r="J75" s="111">
        <v>17697</v>
      </c>
      <c r="K75" s="83">
        <v>1.75</v>
      </c>
      <c r="L75" s="111">
        <f t="shared" si="0"/>
        <v>132550.53</v>
      </c>
      <c r="M75" s="111"/>
      <c r="N75" s="111">
        <f t="shared" si="1"/>
        <v>132550.53</v>
      </c>
      <c r="O75" s="111">
        <f t="shared" si="2"/>
        <v>13255.053</v>
      </c>
      <c r="P75" s="111"/>
      <c r="Q75" s="162"/>
      <c r="R75" s="162"/>
      <c r="S75" s="112"/>
      <c r="T75" s="162"/>
      <c r="U75" s="112"/>
      <c r="V75" s="112">
        <f>L75*30%</f>
        <v>39765.159</v>
      </c>
      <c r="W75" s="112"/>
      <c r="X75" s="112"/>
      <c r="Y75" s="112"/>
      <c r="Z75" s="112"/>
      <c r="AA75" s="112">
        <f t="shared" si="3"/>
        <v>185570.74199999997</v>
      </c>
      <c r="AB75" s="112">
        <f t="shared" si="4"/>
        <v>2226.8489039999995</v>
      </c>
    </row>
    <row r="76" spans="1:28" s="155" customFormat="1" ht="25.5">
      <c r="A76" s="84">
        <v>64</v>
      </c>
      <c r="B76" s="150" t="s">
        <v>260</v>
      </c>
      <c r="C76" s="150" t="s">
        <v>261</v>
      </c>
      <c r="D76" s="154" t="s">
        <v>37</v>
      </c>
      <c r="E76" s="84">
        <v>1</v>
      </c>
      <c r="F76" s="110"/>
      <c r="G76" s="84" t="s">
        <v>14</v>
      </c>
      <c r="H76" s="82" t="s">
        <v>406</v>
      </c>
      <c r="I76" s="121">
        <v>3.25</v>
      </c>
      <c r="J76" s="111">
        <v>17697</v>
      </c>
      <c r="K76" s="83">
        <v>1.23</v>
      </c>
      <c r="L76" s="111">
        <f t="shared" si="0"/>
        <v>70743.757499999992</v>
      </c>
      <c r="M76" s="111"/>
      <c r="N76" s="111">
        <f t="shared" si="1"/>
        <v>70743.757499999992</v>
      </c>
      <c r="O76" s="111">
        <f t="shared" si="2"/>
        <v>7074.3757499999992</v>
      </c>
      <c r="P76" s="111"/>
      <c r="Q76" s="162"/>
      <c r="R76" s="162"/>
      <c r="S76" s="112">
        <f>N76/20.42/2</f>
        <v>1732.2173726738488</v>
      </c>
      <c r="T76" s="112">
        <f>N76/20.42/8*243.33/2/4</f>
        <v>13171.889165397739</v>
      </c>
      <c r="U76" s="112"/>
      <c r="V76" s="112"/>
      <c r="W76" s="112"/>
      <c r="X76" s="112"/>
      <c r="Y76" s="112"/>
      <c r="Z76" s="112"/>
      <c r="AA76" s="112">
        <f t="shared" si="3"/>
        <v>92722.239788071573</v>
      </c>
      <c r="AB76" s="112">
        <f t="shared" si="4"/>
        <v>1112.6668774568589</v>
      </c>
    </row>
    <row r="77" spans="1:28" s="155" customFormat="1" ht="25.5">
      <c r="A77" s="84">
        <v>65</v>
      </c>
      <c r="B77" s="150" t="s">
        <v>260</v>
      </c>
      <c r="C77" s="150" t="s">
        <v>262</v>
      </c>
      <c r="D77" s="154" t="s">
        <v>37</v>
      </c>
      <c r="E77" s="84">
        <v>1</v>
      </c>
      <c r="F77" s="110"/>
      <c r="G77" s="84" t="s">
        <v>14</v>
      </c>
      <c r="H77" s="82" t="s">
        <v>407</v>
      </c>
      <c r="I77" s="121">
        <v>3.25</v>
      </c>
      <c r="J77" s="111">
        <v>17697</v>
      </c>
      <c r="K77" s="83">
        <v>1.23</v>
      </c>
      <c r="L77" s="111">
        <f t="shared" si="0"/>
        <v>70743.757499999992</v>
      </c>
      <c r="M77" s="111"/>
      <c r="N77" s="111">
        <f t="shared" si="1"/>
        <v>70743.757499999992</v>
      </c>
      <c r="O77" s="111">
        <f t="shared" si="2"/>
        <v>7074.3757499999992</v>
      </c>
      <c r="P77" s="111"/>
      <c r="Q77" s="162"/>
      <c r="R77" s="162"/>
      <c r="S77" s="112">
        <f t="shared" ref="S77:S87" si="5">N77/20.42/2</f>
        <v>1732.2173726738488</v>
      </c>
      <c r="T77" s="112">
        <f t="shared" ref="T77:T87" si="6">N77/20.42/8*243.33/2/4</f>
        <v>13171.889165397739</v>
      </c>
      <c r="U77" s="112"/>
      <c r="V77" s="112"/>
      <c r="W77" s="112"/>
      <c r="X77" s="112"/>
      <c r="Y77" s="112"/>
      <c r="Z77" s="112"/>
      <c r="AA77" s="112">
        <f t="shared" si="3"/>
        <v>92722.239788071573</v>
      </c>
      <c r="AB77" s="112">
        <f t="shared" si="4"/>
        <v>1112.6668774568589</v>
      </c>
    </row>
    <row r="78" spans="1:28" s="155" customFormat="1" ht="25.5">
      <c r="A78" s="84">
        <v>66</v>
      </c>
      <c r="B78" s="150" t="s">
        <v>260</v>
      </c>
      <c r="C78" s="150" t="s">
        <v>263</v>
      </c>
      <c r="D78" s="154" t="s">
        <v>37</v>
      </c>
      <c r="E78" s="84">
        <v>1</v>
      </c>
      <c r="F78" s="110"/>
      <c r="G78" s="84" t="s">
        <v>14</v>
      </c>
      <c r="H78" s="82" t="s">
        <v>359</v>
      </c>
      <c r="I78" s="121">
        <v>3.22</v>
      </c>
      <c r="J78" s="111">
        <v>17697</v>
      </c>
      <c r="K78" s="83">
        <v>1.23</v>
      </c>
      <c r="L78" s="111">
        <f t="shared" si="0"/>
        <v>70090.738200000007</v>
      </c>
      <c r="M78" s="111"/>
      <c r="N78" s="111">
        <f t="shared" ref="N78:N131" si="7">L78+M78</f>
        <v>70090.738200000007</v>
      </c>
      <c r="O78" s="111">
        <f t="shared" ref="O78:O131" si="8">N78*10%</f>
        <v>7009.0738200000014</v>
      </c>
      <c r="P78" s="111"/>
      <c r="Q78" s="162"/>
      <c r="R78" s="162"/>
      <c r="S78" s="112">
        <f t="shared" si="5"/>
        <v>1716.2276738491676</v>
      </c>
      <c r="T78" s="112">
        <f t="shared" si="6"/>
        <v>13050.302496178687</v>
      </c>
      <c r="U78" s="112"/>
      <c r="V78" s="112"/>
      <c r="W78" s="112"/>
      <c r="X78" s="112"/>
      <c r="Y78" s="112"/>
      <c r="Z78" s="112"/>
      <c r="AA78" s="112">
        <f t="shared" ref="AA78:AA131" si="9">SUM(N78:Z78)</f>
        <v>91866.342190027863</v>
      </c>
      <c r="AB78" s="112">
        <f t="shared" ref="AB78:AB131" si="10">AA78*12/1000</f>
        <v>1102.3961062803344</v>
      </c>
    </row>
    <row r="79" spans="1:28" s="155" customFormat="1" ht="25.5">
      <c r="A79" s="84">
        <v>67</v>
      </c>
      <c r="B79" s="150" t="s">
        <v>260</v>
      </c>
      <c r="C79" s="150" t="s">
        <v>264</v>
      </c>
      <c r="D79" s="154" t="s">
        <v>37</v>
      </c>
      <c r="E79" s="84">
        <v>1</v>
      </c>
      <c r="F79" s="110"/>
      <c r="G79" s="84" t="s">
        <v>14</v>
      </c>
      <c r="H79" s="82" t="s">
        <v>408</v>
      </c>
      <c r="I79" s="121">
        <v>3.22</v>
      </c>
      <c r="J79" s="111">
        <v>17697</v>
      </c>
      <c r="K79" s="83">
        <v>1.23</v>
      </c>
      <c r="L79" s="111">
        <f t="shared" si="0"/>
        <v>70090.738200000007</v>
      </c>
      <c r="M79" s="111"/>
      <c r="N79" s="111">
        <f t="shared" si="7"/>
        <v>70090.738200000007</v>
      </c>
      <c r="O79" s="111">
        <f t="shared" si="8"/>
        <v>7009.0738200000014</v>
      </c>
      <c r="P79" s="111"/>
      <c r="Q79" s="162"/>
      <c r="R79" s="162"/>
      <c r="S79" s="112">
        <f t="shared" si="5"/>
        <v>1716.2276738491676</v>
      </c>
      <c r="T79" s="112">
        <f t="shared" si="6"/>
        <v>13050.302496178687</v>
      </c>
      <c r="U79" s="112"/>
      <c r="V79" s="112"/>
      <c r="W79" s="112"/>
      <c r="X79" s="112"/>
      <c r="Y79" s="112"/>
      <c r="Z79" s="112"/>
      <c r="AA79" s="112">
        <f t="shared" si="9"/>
        <v>91866.342190027863</v>
      </c>
      <c r="AB79" s="112">
        <f t="shared" si="10"/>
        <v>1102.3961062803344</v>
      </c>
    </row>
    <row r="80" spans="1:28" s="155" customFormat="1" ht="25.5">
      <c r="A80" s="84">
        <v>68</v>
      </c>
      <c r="B80" s="150" t="s">
        <v>260</v>
      </c>
      <c r="C80" s="150" t="s">
        <v>265</v>
      </c>
      <c r="D80" s="154" t="s">
        <v>37</v>
      </c>
      <c r="E80" s="84">
        <v>1</v>
      </c>
      <c r="F80" s="110"/>
      <c r="G80" s="84" t="s">
        <v>14</v>
      </c>
      <c r="H80" s="82" t="s">
        <v>409</v>
      </c>
      <c r="I80" s="121">
        <v>3.19</v>
      </c>
      <c r="J80" s="111">
        <v>17697</v>
      </c>
      <c r="K80" s="83">
        <v>1.23</v>
      </c>
      <c r="L80" s="111">
        <f t="shared" si="0"/>
        <v>69437.718899999993</v>
      </c>
      <c r="M80" s="111"/>
      <c r="N80" s="111">
        <f t="shared" si="7"/>
        <v>69437.718899999993</v>
      </c>
      <c r="O80" s="111">
        <f t="shared" si="8"/>
        <v>6943.77189</v>
      </c>
      <c r="P80" s="111"/>
      <c r="Q80" s="162"/>
      <c r="R80" s="162"/>
      <c r="S80" s="112">
        <f t="shared" si="5"/>
        <v>1700.2379750244854</v>
      </c>
      <c r="T80" s="112">
        <f t="shared" si="6"/>
        <v>12928.715826959628</v>
      </c>
      <c r="U80" s="112"/>
      <c r="V80" s="112"/>
      <c r="W80" s="112"/>
      <c r="X80" s="112"/>
      <c r="Y80" s="112"/>
      <c r="Z80" s="112"/>
      <c r="AA80" s="112">
        <f t="shared" si="9"/>
        <v>91010.444591984109</v>
      </c>
      <c r="AB80" s="112">
        <f t="shared" si="10"/>
        <v>1092.1253351038094</v>
      </c>
    </row>
    <row r="81" spans="1:28" s="155" customFormat="1" ht="25.5">
      <c r="A81" s="84">
        <v>69</v>
      </c>
      <c r="B81" s="150" t="s">
        <v>260</v>
      </c>
      <c r="C81" s="150" t="s">
        <v>266</v>
      </c>
      <c r="D81" s="154" t="s">
        <v>37</v>
      </c>
      <c r="E81" s="84">
        <v>1</v>
      </c>
      <c r="F81" s="110"/>
      <c r="G81" s="84" t="s">
        <v>14</v>
      </c>
      <c r="H81" s="82" t="s">
        <v>410</v>
      </c>
      <c r="I81" s="121">
        <v>3.22</v>
      </c>
      <c r="J81" s="111">
        <v>17697</v>
      </c>
      <c r="K81" s="83">
        <v>1.23</v>
      </c>
      <c r="L81" s="111">
        <f t="shared" si="0"/>
        <v>70090.738200000007</v>
      </c>
      <c r="M81" s="111"/>
      <c r="N81" s="111">
        <f t="shared" si="7"/>
        <v>70090.738200000007</v>
      </c>
      <c r="O81" s="111">
        <f t="shared" si="8"/>
        <v>7009.0738200000014</v>
      </c>
      <c r="P81" s="111"/>
      <c r="Q81" s="162"/>
      <c r="R81" s="162"/>
      <c r="S81" s="112">
        <f t="shared" si="5"/>
        <v>1716.2276738491676</v>
      </c>
      <c r="T81" s="112">
        <f t="shared" si="6"/>
        <v>13050.302496178687</v>
      </c>
      <c r="U81" s="112"/>
      <c r="V81" s="112"/>
      <c r="W81" s="112"/>
      <c r="X81" s="112"/>
      <c r="Y81" s="112"/>
      <c r="Z81" s="112"/>
      <c r="AA81" s="112">
        <f t="shared" si="9"/>
        <v>91866.342190027863</v>
      </c>
      <c r="AB81" s="112">
        <f t="shared" si="10"/>
        <v>1102.3961062803344</v>
      </c>
    </row>
    <row r="82" spans="1:28" s="155" customFormat="1" ht="25.5">
      <c r="A82" s="84">
        <v>70</v>
      </c>
      <c r="B82" s="150" t="s">
        <v>260</v>
      </c>
      <c r="C82" s="150" t="s">
        <v>267</v>
      </c>
      <c r="D82" s="154" t="s">
        <v>349</v>
      </c>
      <c r="E82" s="84">
        <v>1</v>
      </c>
      <c r="F82" s="110"/>
      <c r="G82" s="84" t="s">
        <v>14</v>
      </c>
      <c r="H82" s="82" t="s">
        <v>390</v>
      </c>
      <c r="I82" s="121">
        <v>3.19</v>
      </c>
      <c r="J82" s="111">
        <v>17697</v>
      </c>
      <c r="K82" s="83">
        <v>1.23</v>
      </c>
      <c r="L82" s="111">
        <f t="shared" si="0"/>
        <v>69437.718899999993</v>
      </c>
      <c r="M82" s="111"/>
      <c r="N82" s="111">
        <f t="shared" si="7"/>
        <v>69437.718899999993</v>
      </c>
      <c r="O82" s="111">
        <f t="shared" si="8"/>
        <v>6943.77189</v>
      </c>
      <c r="P82" s="111"/>
      <c r="Q82" s="162"/>
      <c r="R82" s="162"/>
      <c r="S82" s="112">
        <f t="shared" si="5"/>
        <v>1700.2379750244854</v>
      </c>
      <c r="T82" s="112">
        <f t="shared" si="6"/>
        <v>12928.715826959628</v>
      </c>
      <c r="U82" s="112"/>
      <c r="V82" s="112"/>
      <c r="W82" s="112"/>
      <c r="X82" s="112"/>
      <c r="Y82" s="112"/>
      <c r="Z82" s="112"/>
      <c r="AA82" s="112">
        <f t="shared" si="9"/>
        <v>91010.444591984109</v>
      </c>
      <c r="AB82" s="112">
        <f t="shared" si="10"/>
        <v>1092.1253351038094</v>
      </c>
    </row>
    <row r="83" spans="1:28" s="155" customFormat="1" ht="25.5">
      <c r="A83" s="84">
        <v>71</v>
      </c>
      <c r="B83" s="150" t="s">
        <v>260</v>
      </c>
      <c r="C83" s="150" t="s">
        <v>268</v>
      </c>
      <c r="D83" s="154" t="s">
        <v>350</v>
      </c>
      <c r="E83" s="84">
        <v>1</v>
      </c>
      <c r="F83" s="110"/>
      <c r="G83" s="84" t="s">
        <v>14</v>
      </c>
      <c r="H83" s="82" t="s">
        <v>390</v>
      </c>
      <c r="I83" s="121">
        <v>3.19</v>
      </c>
      <c r="J83" s="111">
        <v>17697</v>
      </c>
      <c r="K83" s="83">
        <v>1.23</v>
      </c>
      <c r="L83" s="111">
        <f t="shared" si="0"/>
        <v>69437.718899999993</v>
      </c>
      <c r="M83" s="111"/>
      <c r="N83" s="111">
        <f t="shared" si="7"/>
        <v>69437.718899999993</v>
      </c>
      <c r="O83" s="111">
        <f t="shared" si="8"/>
        <v>6943.77189</v>
      </c>
      <c r="P83" s="111"/>
      <c r="Q83" s="162"/>
      <c r="R83" s="162"/>
      <c r="S83" s="112">
        <f t="shared" si="5"/>
        <v>1700.2379750244854</v>
      </c>
      <c r="T83" s="112">
        <f t="shared" si="6"/>
        <v>12928.715826959628</v>
      </c>
      <c r="U83" s="112"/>
      <c r="V83" s="112"/>
      <c r="W83" s="112"/>
      <c r="X83" s="112"/>
      <c r="Y83" s="112"/>
      <c r="Z83" s="112"/>
      <c r="AA83" s="112">
        <f t="shared" si="9"/>
        <v>91010.444591984109</v>
      </c>
      <c r="AB83" s="112">
        <f t="shared" si="10"/>
        <v>1092.1253351038094</v>
      </c>
    </row>
    <row r="84" spans="1:28" s="155" customFormat="1" ht="25.5">
      <c r="A84" s="84">
        <v>72</v>
      </c>
      <c r="B84" s="150" t="s">
        <v>260</v>
      </c>
      <c r="C84" s="150" t="s">
        <v>269</v>
      </c>
      <c r="D84" s="154" t="s">
        <v>349</v>
      </c>
      <c r="E84" s="84">
        <v>1</v>
      </c>
      <c r="F84" s="110"/>
      <c r="G84" s="84" t="s">
        <v>14</v>
      </c>
      <c r="H84" s="82" t="s">
        <v>376</v>
      </c>
      <c r="I84" s="121">
        <v>3.16</v>
      </c>
      <c r="J84" s="111">
        <v>17697</v>
      </c>
      <c r="K84" s="83">
        <v>1.23</v>
      </c>
      <c r="L84" s="111">
        <f t="shared" si="0"/>
        <v>68784.699600000007</v>
      </c>
      <c r="M84" s="111"/>
      <c r="N84" s="111">
        <f t="shared" si="7"/>
        <v>68784.699600000007</v>
      </c>
      <c r="O84" s="111">
        <f t="shared" si="8"/>
        <v>6878.4699600000013</v>
      </c>
      <c r="P84" s="111"/>
      <c r="Q84" s="162"/>
      <c r="R84" s="162"/>
      <c r="S84" s="112">
        <f t="shared" si="5"/>
        <v>1684.2482761998042</v>
      </c>
      <c r="T84" s="112">
        <f t="shared" si="6"/>
        <v>12807.129157740574</v>
      </c>
      <c r="U84" s="112"/>
      <c r="V84" s="112"/>
      <c r="W84" s="112"/>
      <c r="X84" s="112"/>
      <c r="Y84" s="112"/>
      <c r="Z84" s="112"/>
      <c r="AA84" s="112">
        <f t="shared" si="9"/>
        <v>90154.546993940399</v>
      </c>
      <c r="AB84" s="112">
        <f t="shared" si="10"/>
        <v>1081.854563927285</v>
      </c>
    </row>
    <row r="85" spans="1:28" s="155" customFormat="1" ht="25.5">
      <c r="A85" s="84">
        <v>73</v>
      </c>
      <c r="B85" s="150" t="s">
        <v>260</v>
      </c>
      <c r="C85" s="150" t="s">
        <v>270</v>
      </c>
      <c r="D85" s="154" t="s">
        <v>37</v>
      </c>
      <c r="E85" s="84">
        <v>1</v>
      </c>
      <c r="F85" s="110"/>
      <c r="G85" s="84" t="s">
        <v>14</v>
      </c>
      <c r="H85" s="82" t="s">
        <v>411</v>
      </c>
      <c r="I85" s="121">
        <v>3.29</v>
      </c>
      <c r="J85" s="111">
        <v>17697</v>
      </c>
      <c r="K85" s="83">
        <v>1.23</v>
      </c>
      <c r="L85" s="111">
        <f t="shared" si="0"/>
        <v>71614.449899999992</v>
      </c>
      <c r="M85" s="111"/>
      <c r="N85" s="111">
        <f t="shared" si="7"/>
        <v>71614.449899999992</v>
      </c>
      <c r="O85" s="111">
        <f t="shared" si="8"/>
        <v>7161.44499</v>
      </c>
      <c r="P85" s="111"/>
      <c r="Q85" s="162"/>
      <c r="R85" s="162"/>
      <c r="S85" s="112">
        <f t="shared" si="5"/>
        <v>1753.5369711067578</v>
      </c>
      <c r="T85" s="112">
        <f t="shared" si="6"/>
        <v>13334.004724356482</v>
      </c>
      <c r="U85" s="112"/>
      <c r="V85" s="112"/>
      <c r="W85" s="112"/>
      <c r="X85" s="112"/>
      <c r="Y85" s="112"/>
      <c r="Z85" s="112"/>
      <c r="AA85" s="112">
        <f t="shared" si="9"/>
        <v>93863.436585463234</v>
      </c>
      <c r="AB85" s="112">
        <f t="shared" si="10"/>
        <v>1126.3612390255589</v>
      </c>
    </row>
    <row r="86" spans="1:28" s="155" customFormat="1" ht="38.25">
      <c r="A86" s="84">
        <v>74</v>
      </c>
      <c r="B86" s="150" t="s">
        <v>260</v>
      </c>
      <c r="C86" s="150" t="s">
        <v>271</v>
      </c>
      <c r="D86" s="154" t="s">
        <v>37</v>
      </c>
      <c r="E86" s="84">
        <v>1</v>
      </c>
      <c r="F86" s="110"/>
      <c r="G86" s="84" t="s">
        <v>14</v>
      </c>
      <c r="H86" s="82" t="s">
        <v>412</v>
      </c>
      <c r="I86" s="121">
        <v>3.12</v>
      </c>
      <c r="J86" s="111">
        <v>17697</v>
      </c>
      <c r="K86" s="83">
        <v>1.23</v>
      </c>
      <c r="L86" s="111">
        <f t="shared" si="0"/>
        <v>67914.007199999993</v>
      </c>
      <c r="M86" s="111"/>
      <c r="N86" s="111">
        <f t="shared" si="7"/>
        <v>67914.007199999993</v>
      </c>
      <c r="O86" s="111">
        <f t="shared" si="8"/>
        <v>6791.4007199999996</v>
      </c>
      <c r="P86" s="111"/>
      <c r="Q86" s="162"/>
      <c r="R86" s="162"/>
      <c r="S86" s="112">
        <f t="shared" si="5"/>
        <v>1662.9286777668949</v>
      </c>
      <c r="T86" s="112">
        <f t="shared" si="6"/>
        <v>12645.01359878183</v>
      </c>
      <c r="U86" s="112"/>
      <c r="V86" s="112"/>
      <c r="W86" s="112"/>
      <c r="X86" s="112"/>
      <c r="Y86" s="112"/>
      <c r="Z86" s="112"/>
      <c r="AA86" s="112">
        <f t="shared" si="9"/>
        <v>89013.350196548723</v>
      </c>
      <c r="AB86" s="112">
        <f t="shared" si="10"/>
        <v>1068.1602023585847</v>
      </c>
    </row>
    <row r="87" spans="1:28" s="155" customFormat="1" ht="25.5">
      <c r="A87" s="84">
        <v>75</v>
      </c>
      <c r="B87" s="150" t="s">
        <v>260</v>
      </c>
      <c r="C87" s="150" t="s">
        <v>141</v>
      </c>
      <c r="D87" s="154" t="s">
        <v>37</v>
      </c>
      <c r="E87" s="84">
        <v>1</v>
      </c>
      <c r="F87" s="110"/>
      <c r="G87" s="84" t="s">
        <v>14</v>
      </c>
      <c r="H87" s="82" t="s">
        <v>368</v>
      </c>
      <c r="I87" s="121">
        <v>3.29</v>
      </c>
      <c r="J87" s="111">
        <v>17697</v>
      </c>
      <c r="K87" s="83">
        <v>1.23</v>
      </c>
      <c r="L87" s="111">
        <f t="shared" si="0"/>
        <v>71614.449899999992</v>
      </c>
      <c r="M87" s="111"/>
      <c r="N87" s="111">
        <f t="shared" si="7"/>
        <v>71614.449899999992</v>
      </c>
      <c r="O87" s="111">
        <f t="shared" si="8"/>
        <v>7161.44499</v>
      </c>
      <c r="P87" s="111"/>
      <c r="Q87" s="162"/>
      <c r="R87" s="162"/>
      <c r="S87" s="112">
        <f t="shared" si="5"/>
        <v>1753.5369711067578</v>
      </c>
      <c r="T87" s="112">
        <f t="shared" si="6"/>
        <v>13334.004724356482</v>
      </c>
      <c r="U87" s="112"/>
      <c r="V87" s="112"/>
      <c r="W87" s="112"/>
      <c r="X87" s="112"/>
      <c r="Y87" s="112"/>
      <c r="Z87" s="112"/>
      <c r="AA87" s="112">
        <f t="shared" si="9"/>
        <v>93863.436585463234</v>
      </c>
      <c r="AB87" s="112">
        <f t="shared" si="10"/>
        <v>1126.3612390255589</v>
      </c>
    </row>
    <row r="88" spans="1:28" s="155" customFormat="1" ht="25.5">
      <c r="A88" s="84">
        <v>76</v>
      </c>
      <c r="B88" s="150" t="s">
        <v>7</v>
      </c>
      <c r="C88" s="150" t="s">
        <v>272</v>
      </c>
      <c r="D88" s="154" t="s">
        <v>350</v>
      </c>
      <c r="E88" s="84">
        <v>1</v>
      </c>
      <c r="F88" s="110"/>
      <c r="G88" s="84" t="s">
        <v>14</v>
      </c>
      <c r="H88" s="82" t="s">
        <v>413</v>
      </c>
      <c r="I88" s="121">
        <v>3.16</v>
      </c>
      <c r="J88" s="111">
        <v>17697</v>
      </c>
      <c r="K88" s="83">
        <v>1.23</v>
      </c>
      <c r="L88" s="111">
        <f t="shared" si="0"/>
        <v>68784.699600000007</v>
      </c>
      <c r="M88" s="111"/>
      <c r="N88" s="111">
        <f t="shared" si="7"/>
        <v>68784.699600000007</v>
      </c>
      <c r="O88" s="111">
        <f t="shared" si="8"/>
        <v>6878.4699600000013</v>
      </c>
      <c r="P88" s="111"/>
      <c r="Q88" s="162"/>
      <c r="R88" s="162"/>
      <c r="S88" s="112"/>
      <c r="T88" s="162"/>
      <c r="U88" s="112"/>
      <c r="V88" s="112"/>
      <c r="W88" s="112"/>
      <c r="X88" s="112"/>
      <c r="Y88" s="112"/>
      <c r="Z88" s="112"/>
      <c r="AA88" s="112">
        <f t="shared" si="9"/>
        <v>75663.169560000009</v>
      </c>
      <c r="AB88" s="112">
        <f t="shared" si="10"/>
        <v>907.95803472000011</v>
      </c>
    </row>
    <row r="89" spans="1:28" s="155" customFormat="1" ht="25.5">
      <c r="A89" s="84">
        <v>77</v>
      </c>
      <c r="B89" s="150" t="s">
        <v>273</v>
      </c>
      <c r="C89" s="150" t="s">
        <v>274</v>
      </c>
      <c r="D89" s="154" t="s">
        <v>349</v>
      </c>
      <c r="E89" s="84">
        <v>0.5</v>
      </c>
      <c r="F89" s="110"/>
      <c r="G89" s="84" t="s">
        <v>14</v>
      </c>
      <c r="H89" s="82" t="s">
        <v>401</v>
      </c>
      <c r="I89" s="121">
        <v>3.16</v>
      </c>
      <c r="J89" s="111">
        <v>17697</v>
      </c>
      <c r="K89" s="83">
        <v>1.23</v>
      </c>
      <c r="L89" s="111">
        <f t="shared" si="0"/>
        <v>34392.349800000004</v>
      </c>
      <c r="M89" s="111"/>
      <c r="N89" s="111">
        <f t="shared" si="7"/>
        <v>34392.349800000004</v>
      </c>
      <c r="O89" s="111">
        <f t="shared" si="8"/>
        <v>3439.2349800000006</v>
      </c>
      <c r="P89" s="111"/>
      <c r="Q89" s="112">
        <f>SUM(E89*J89*0.2)</f>
        <v>1769.7</v>
      </c>
      <c r="R89" s="162"/>
      <c r="S89" s="112"/>
      <c r="T89" s="162"/>
      <c r="U89" s="112"/>
      <c r="V89" s="112"/>
      <c r="W89" s="112"/>
      <c r="X89" s="112"/>
      <c r="Y89" s="112"/>
      <c r="Z89" s="112"/>
      <c r="AA89" s="112">
        <f t="shared" si="9"/>
        <v>39601.284780000002</v>
      </c>
      <c r="AB89" s="112">
        <f t="shared" si="10"/>
        <v>475.21541736</v>
      </c>
    </row>
    <row r="90" spans="1:28" s="155" customFormat="1" ht="22.5" customHeight="1">
      <c r="A90" s="84">
        <v>78</v>
      </c>
      <c r="B90" s="150" t="s">
        <v>273</v>
      </c>
      <c r="C90" s="150" t="s">
        <v>275</v>
      </c>
      <c r="D90" s="154" t="s">
        <v>349</v>
      </c>
      <c r="E90" s="84">
        <v>0.5</v>
      </c>
      <c r="F90" s="110"/>
      <c r="G90" s="84" t="s">
        <v>14</v>
      </c>
      <c r="H90" s="82" t="s">
        <v>370</v>
      </c>
      <c r="I90" s="121">
        <v>2.94</v>
      </c>
      <c r="J90" s="111">
        <v>17697</v>
      </c>
      <c r="K90" s="83">
        <v>1.23</v>
      </c>
      <c r="L90" s="111">
        <f t="shared" si="0"/>
        <v>31997.9457</v>
      </c>
      <c r="M90" s="111"/>
      <c r="N90" s="111">
        <f t="shared" si="7"/>
        <v>31997.9457</v>
      </c>
      <c r="O90" s="111">
        <f t="shared" si="8"/>
        <v>3199.79457</v>
      </c>
      <c r="P90" s="111"/>
      <c r="Q90" s="112">
        <f>SUM(E90*J90*0.2)</f>
        <v>1769.7</v>
      </c>
      <c r="R90" s="162"/>
      <c r="S90" s="112"/>
      <c r="T90" s="162"/>
      <c r="U90" s="112"/>
      <c r="V90" s="112"/>
      <c r="W90" s="112"/>
      <c r="X90" s="112"/>
      <c r="Y90" s="112"/>
      <c r="Z90" s="112"/>
      <c r="AA90" s="112">
        <f t="shared" si="9"/>
        <v>36967.440269999999</v>
      </c>
      <c r="AB90" s="112">
        <f t="shared" si="10"/>
        <v>443.60928324000002</v>
      </c>
    </row>
    <row r="91" spans="1:28" s="155" customFormat="1" ht="25.5">
      <c r="A91" s="84">
        <v>79</v>
      </c>
      <c r="B91" s="150" t="s">
        <v>276</v>
      </c>
      <c r="C91" s="150" t="s">
        <v>277</v>
      </c>
      <c r="D91" s="154" t="s">
        <v>37</v>
      </c>
      <c r="E91" s="84">
        <v>1</v>
      </c>
      <c r="F91" s="110"/>
      <c r="G91" s="84" t="s">
        <v>14</v>
      </c>
      <c r="H91" s="82" t="s">
        <v>370</v>
      </c>
      <c r="I91" s="121">
        <v>2.94</v>
      </c>
      <c r="J91" s="111">
        <v>17697</v>
      </c>
      <c r="K91" s="83">
        <v>1.23</v>
      </c>
      <c r="L91" s="111">
        <f t="shared" si="0"/>
        <v>63995.8914</v>
      </c>
      <c r="M91" s="111"/>
      <c r="N91" s="111">
        <f t="shared" si="7"/>
        <v>63995.8914</v>
      </c>
      <c r="O91" s="111">
        <f t="shared" si="8"/>
        <v>6399.58914</v>
      </c>
      <c r="P91" s="111"/>
      <c r="Q91" s="162"/>
      <c r="R91" s="162"/>
      <c r="S91" s="112"/>
      <c r="T91" s="162"/>
      <c r="U91" s="112"/>
      <c r="V91" s="112"/>
      <c r="W91" s="112"/>
      <c r="X91" s="112"/>
      <c r="Y91" s="112"/>
      <c r="Z91" s="112"/>
      <c r="AA91" s="112">
        <f t="shared" si="9"/>
        <v>70395.480540000004</v>
      </c>
      <c r="AB91" s="112">
        <f t="shared" si="10"/>
        <v>844.74576648000004</v>
      </c>
    </row>
    <row r="92" spans="1:28" s="155" customFormat="1" ht="25.5">
      <c r="A92" s="84">
        <v>80</v>
      </c>
      <c r="B92" s="150" t="s">
        <v>317</v>
      </c>
      <c r="C92" s="150" t="s">
        <v>141</v>
      </c>
      <c r="D92" s="154" t="s">
        <v>37</v>
      </c>
      <c r="E92" s="84">
        <v>1</v>
      </c>
      <c r="F92" s="110"/>
      <c r="G92" s="84" t="s">
        <v>14</v>
      </c>
      <c r="H92" s="165" t="s">
        <v>358</v>
      </c>
      <c r="I92" s="121">
        <v>2.94</v>
      </c>
      <c r="J92" s="111">
        <v>17697</v>
      </c>
      <c r="K92" s="83">
        <v>1.23</v>
      </c>
      <c r="L92" s="111">
        <f>(I92*17697*E92)*K92</f>
        <v>63995.8914</v>
      </c>
      <c r="M92" s="111"/>
      <c r="N92" s="111">
        <f>L92+M92</f>
        <v>63995.8914</v>
      </c>
      <c r="O92" s="111">
        <f>N92*10%</f>
        <v>6399.58914</v>
      </c>
      <c r="P92" s="111"/>
      <c r="Q92" s="162"/>
      <c r="R92" s="162"/>
      <c r="S92" s="112"/>
      <c r="T92" s="162"/>
      <c r="U92" s="112"/>
      <c r="V92" s="112"/>
      <c r="W92" s="112"/>
      <c r="X92" s="112"/>
      <c r="Y92" s="112"/>
      <c r="Z92" s="112"/>
      <c r="AA92" s="112">
        <f t="shared" si="9"/>
        <v>70395.480540000004</v>
      </c>
      <c r="AB92" s="112">
        <f t="shared" si="10"/>
        <v>844.74576648000004</v>
      </c>
    </row>
    <row r="93" spans="1:28" s="155" customFormat="1" ht="25.5">
      <c r="A93" s="84">
        <v>81</v>
      </c>
      <c r="B93" s="150" t="s">
        <v>278</v>
      </c>
      <c r="C93" s="150" t="s">
        <v>279</v>
      </c>
      <c r="D93" s="154" t="s">
        <v>350</v>
      </c>
      <c r="E93" s="110">
        <v>1</v>
      </c>
      <c r="F93" s="110"/>
      <c r="G93" s="110">
        <v>5</v>
      </c>
      <c r="H93" s="165"/>
      <c r="I93" s="166">
        <v>2.92</v>
      </c>
      <c r="J93" s="111">
        <v>17697</v>
      </c>
      <c r="K93" s="222">
        <v>1.23</v>
      </c>
      <c r="L93" s="111">
        <f t="shared" si="0"/>
        <v>63560.545199999993</v>
      </c>
      <c r="M93" s="111"/>
      <c r="N93" s="111">
        <f t="shared" si="7"/>
        <v>63560.545199999993</v>
      </c>
      <c r="O93" s="111">
        <f t="shared" si="8"/>
        <v>6356.0545199999997</v>
      </c>
      <c r="P93" s="111"/>
      <c r="Q93" s="112">
        <f>17697*30%</f>
        <v>5309.0999999999995</v>
      </c>
      <c r="R93" s="162"/>
      <c r="S93" s="112"/>
      <c r="T93" s="162"/>
      <c r="U93" s="112"/>
      <c r="V93" s="112"/>
      <c r="W93" s="112"/>
      <c r="X93" s="112"/>
      <c r="Y93" s="112"/>
      <c r="Z93" s="112"/>
      <c r="AA93" s="112">
        <f t="shared" si="9"/>
        <v>75225.699720000004</v>
      </c>
      <c r="AB93" s="112">
        <f t="shared" si="10"/>
        <v>902.70839664000005</v>
      </c>
    </row>
    <row r="94" spans="1:28" s="155" customFormat="1" ht="25.5">
      <c r="A94" s="84">
        <v>82</v>
      </c>
      <c r="B94" s="150" t="s">
        <v>280</v>
      </c>
      <c r="C94" s="150" t="s">
        <v>281</v>
      </c>
      <c r="D94" s="154" t="s">
        <v>350</v>
      </c>
      <c r="E94" s="84">
        <v>1</v>
      </c>
      <c r="F94" s="110"/>
      <c r="G94" s="84">
        <v>5</v>
      </c>
      <c r="H94" s="82"/>
      <c r="I94" s="121">
        <v>2.92</v>
      </c>
      <c r="J94" s="111">
        <v>17697</v>
      </c>
      <c r="K94" s="83">
        <v>1.23</v>
      </c>
      <c r="L94" s="111">
        <f t="shared" si="0"/>
        <v>63560.545199999993</v>
      </c>
      <c r="M94" s="111"/>
      <c r="N94" s="111">
        <f t="shared" si="7"/>
        <v>63560.545199999993</v>
      </c>
      <c r="O94" s="111">
        <f t="shared" si="8"/>
        <v>6356.0545199999997</v>
      </c>
      <c r="P94" s="111"/>
      <c r="Q94" s="162"/>
      <c r="R94" s="162"/>
      <c r="S94" s="112"/>
      <c r="T94" s="162"/>
      <c r="U94" s="112"/>
      <c r="V94" s="112"/>
      <c r="W94" s="112"/>
      <c r="X94" s="112"/>
      <c r="Y94" s="112"/>
      <c r="Z94" s="112"/>
      <c r="AA94" s="112">
        <f t="shared" si="9"/>
        <v>69916.599719999998</v>
      </c>
      <c r="AB94" s="112">
        <f t="shared" si="10"/>
        <v>838.99919664000004</v>
      </c>
    </row>
    <row r="95" spans="1:28" s="155" customFormat="1" ht="25.5">
      <c r="A95" s="84">
        <v>83</v>
      </c>
      <c r="B95" s="150" t="s">
        <v>282</v>
      </c>
      <c r="C95" s="150" t="s">
        <v>207</v>
      </c>
      <c r="D95" s="154" t="s">
        <v>350</v>
      </c>
      <c r="E95" s="84">
        <v>1</v>
      </c>
      <c r="F95" s="110"/>
      <c r="G95" s="84">
        <v>2</v>
      </c>
      <c r="H95" s="82"/>
      <c r="I95" s="121">
        <v>2.81</v>
      </c>
      <c r="J95" s="111">
        <v>17697</v>
      </c>
      <c r="K95" s="83">
        <v>1.23</v>
      </c>
      <c r="L95" s="111">
        <f t="shared" si="0"/>
        <v>61166.141100000001</v>
      </c>
      <c r="M95" s="111"/>
      <c r="N95" s="111">
        <f t="shared" si="7"/>
        <v>61166.141100000001</v>
      </c>
      <c r="O95" s="111">
        <f t="shared" si="8"/>
        <v>6116.6141100000004</v>
      </c>
      <c r="P95" s="111"/>
      <c r="Q95" s="162"/>
      <c r="R95" s="162"/>
      <c r="S95" s="112"/>
      <c r="T95" s="162"/>
      <c r="U95" s="112"/>
      <c r="V95" s="112"/>
      <c r="W95" s="112"/>
      <c r="X95" s="112"/>
      <c r="Y95" s="112"/>
      <c r="Z95" s="112"/>
      <c r="AA95" s="112">
        <f t="shared" si="9"/>
        <v>67282.755210000003</v>
      </c>
      <c r="AB95" s="112">
        <f t="shared" si="10"/>
        <v>807.39306252000006</v>
      </c>
    </row>
    <row r="96" spans="1:28" s="155" customFormat="1" ht="25.5">
      <c r="A96" s="84">
        <v>84</v>
      </c>
      <c r="B96" s="150" t="s">
        <v>8</v>
      </c>
      <c r="C96" s="150" t="s">
        <v>274</v>
      </c>
      <c r="D96" s="154" t="s">
        <v>350</v>
      </c>
      <c r="E96" s="84">
        <v>1</v>
      </c>
      <c r="F96" s="110"/>
      <c r="G96" s="84">
        <v>5</v>
      </c>
      <c r="H96" s="82"/>
      <c r="I96" s="121">
        <v>2.92</v>
      </c>
      <c r="J96" s="111">
        <v>17697</v>
      </c>
      <c r="K96" s="83">
        <v>1.23</v>
      </c>
      <c r="L96" s="111">
        <f t="shared" si="0"/>
        <v>63560.545199999993</v>
      </c>
      <c r="M96" s="111"/>
      <c r="N96" s="111">
        <f t="shared" si="7"/>
        <v>63560.545199999993</v>
      </c>
      <c r="O96" s="111">
        <f t="shared" si="8"/>
        <v>6356.0545199999997</v>
      </c>
      <c r="P96" s="111"/>
      <c r="Q96" s="162"/>
      <c r="R96" s="162"/>
      <c r="S96" s="112"/>
      <c r="T96" s="162"/>
      <c r="U96" s="112"/>
      <c r="V96" s="112"/>
      <c r="W96" s="112"/>
      <c r="X96" s="112"/>
      <c r="Y96" s="112"/>
      <c r="Z96" s="112"/>
      <c r="AA96" s="112">
        <f t="shared" si="9"/>
        <v>69916.599719999998</v>
      </c>
      <c r="AB96" s="112">
        <f t="shared" si="10"/>
        <v>838.99919664000004</v>
      </c>
    </row>
    <row r="97" spans="1:28" s="155" customFormat="1" ht="25.5">
      <c r="A97" s="84">
        <v>85</v>
      </c>
      <c r="B97" s="150" t="s">
        <v>283</v>
      </c>
      <c r="C97" s="150" t="s">
        <v>284</v>
      </c>
      <c r="D97" s="154" t="s">
        <v>349</v>
      </c>
      <c r="E97" s="84">
        <v>1.5</v>
      </c>
      <c r="F97" s="110"/>
      <c r="G97" s="84">
        <v>2</v>
      </c>
      <c r="H97" s="82"/>
      <c r="I97" s="121">
        <v>2.81</v>
      </c>
      <c r="J97" s="111">
        <v>17697</v>
      </c>
      <c r="K97" s="83">
        <v>1.23</v>
      </c>
      <c r="L97" s="111">
        <f t="shared" si="0"/>
        <v>91749.211649999997</v>
      </c>
      <c r="M97" s="111"/>
      <c r="N97" s="111">
        <f t="shared" si="7"/>
        <v>91749.211649999997</v>
      </c>
      <c r="O97" s="111">
        <f t="shared" si="8"/>
        <v>9174.9211649999997</v>
      </c>
      <c r="P97" s="111"/>
      <c r="Q97" s="162">
        <f>J97*30%*E97</f>
        <v>7963.65</v>
      </c>
      <c r="R97" s="162"/>
      <c r="S97" s="112"/>
      <c r="T97" s="162"/>
      <c r="U97" s="112"/>
      <c r="V97" s="112"/>
      <c r="W97" s="112"/>
      <c r="X97" s="112"/>
      <c r="Y97" s="112"/>
      <c r="Z97" s="112"/>
      <c r="AA97" s="112">
        <f t="shared" si="9"/>
        <v>108887.78281499998</v>
      </c>
      <c r="AB97" s="112">
        <f t="shared" si="10"/>
        <v>1306.6533937799998</v>
      </c>
    </row>
    <row r="98" spans="1:28" s="155" customFormat="1" ht="25.5">
      <c r="A98" s="84">
        <v>86</v>
      </c>
      <c r="B98" s="150" t="s">
        <v>283</v>
      </c>
      <c r="C98" s="150" t="s">
        <v>285</v>
      </c>
      <c r="D98" s="154" t="s">
        <v>349</v>
      </c>
      <c r="E98" s="84">
        <v>1.5</v>
      </c>
      <c r="F98" s="110"/>
      <c r="G98" s="84">
        <v>2</v>
      </c>
      <c r="H98" s="82"/>
      <c r="I98" s="124">
        <v>2.81</v>
      </c>
      <c r="J98" s="111">
        <v>17697</v>
      </c>
      <c r="K98" s="83">
        <v>1.23</v>
      </c>
      <c r="L98" s="111">
        <f t="shared" si="0"/>
        <v>91749.211649999997</v>
      </c>
      <c r="M98" s="111"/>
      <c r="N98" s="111">
        <f t="shared" si="7"/>
        <v>91749.211649999997</v>
      </c>
      <c r="O98" s="111">
        <f t="shared" si="8"/>
        <v>9174.9211649999997</v>
      </c>
      <c r="P98" s="111"/>
      <c r="Q98" s="162">
        <f t="shared" ref="Q98:Q110" si="11">J98*30%*E98</f>
        <v>7963.65</v>
      </c>
      <c r="R98" s="162"/>
      <c r="S98" s="112"/>
      <c r="T98" s="162"/>
      <c r="U98" s="112"/>
      <c r="V98" s="112"/>
      <c r="W98" s="112"/>
      <c r="X98" s="112"/>
      <c r="Y98" s="112"/>
      <c r="Z98" s="112"/>
      <c r="AA98" s="112">
        <f t="shared" si="9"/>
        <v>108887.78281499998</v>
      </c>
      <c r="AB98" s="112">
        <f t="shared" si="10"/>
        <v>1306.6533937799998</v>
      </c>
    </row>
    <row r="99" spans="1:28" s="155" customFormat="1" ht="25.5">
      <c r="A99" s="84">
        <v>87</v>
      </c>
      <c r="B99" s="150" t="s">
        <v>283</v>
      </c>
      <c r="C99" s="150" t="s">
        <v>286</v>
      </c>
      <c r="D99" s="154" t="s">
        <v>349</v>
      </c>
      <c r="E99" s="84">
        <v>1.5</v>
      </c>
      <c r="F99" s="110"/>
      <c r="G99" s="84">
        <v>2</v>
      </c>
      <c r="H99" s="82"/>
      <c r="I99" s="121">
        <v>2.81</v>
      </c>
      <c r="J99" s="111">
        <v>17697</v>
      </c>
      <c r="K99" s="83">
        <v>1.23</v>
      </c>
      <c r="L99" s="111">
        <f t="shared" si="0"/>
        <v>91749.211649999997</v>
      </c>
      <c r="M99" s="111"/>
      <c r="N99" s="111">
        <f t="shared" si="7"/>
        <v>91749.211649999997</v>
      </c>
      <c r="O99" s="111">
        <f t="shared" si="8"/>
        <v>9174.9211649999997</v>
      </c>
      <c r="P99" s="111"/>
      <c r="Q99" s="162">
        <f t="shared" si="11"/>
        <v>7963.65</v>
      </c>
      <c r="R99" s="162"/>
      <c r="S99" s="112"/>
      <c r="T99" s="162"/>
      <c r="U99" s="112"/>
      <c r="V99" s="112"/>
      <c r="W99" s="112"/>
      <c r="X99" s="112"/>
      <c r="Y99" s="112"/>
      <c r="Z99" s="112"/>
      <c r="AA99" s="112">
        <f t="shared" si="9"/>
        <v>108887.78281499998</v>
      </c>
      <c r="AB99" s="112">
        <f t="shared" si="10"/>
        <v>1306.6533937799998</v>
      </c>
    </row>
    <row r="100" spans="1:28" s="155" customFormat="1" ht="38.25">
      <c r="A100" s="84">
        <v>88</v>
      </c>
      <c r="B100" s="150" t="s">
        <v>283</v>
      </c>
      <c r="C100" s="150" t="s">
        <v>287</v>
      </c>
      <c r="D100" s="154" t="s">
        <v>349</v>
      </c>
      <c r="E100" s="84">
        <v>1.5</v>
      </c>
      <c r="F100" s="110"/>
      <c r="G100" s="84">
        <v>2</v>
      </c>
      <c r="H100" s="82"/>
      <c r="I100" s="121">
        <v>2.81</v>
      </c>
      <c r="J100" s="111">
        <v>17697</v>
      </c>
      <c r="K100" s="83">
        <v>1.23</v>
      </c>
      <c r="L100" s="111">
        <f t="shared" si="0"/>
        <v>91749.211649999997</v>
      </c>
      <c r="M100" s="111"/>
      <c r="N100" s="111">
        <f t="shared" si="7"/>
        <v>91749.211649999997</v>
      </c>
      <c r="O100" s="111">
        <f t="shared" si="8"/>
        <v>9174.9211649999997</v>
      </c>
      <c r="P100" s="111"/>
      <c r="Q100" s="162">
        <f t="shared" si="11"/>
        <v>7963.65</v>
      </c>
      <c r="R100" s="162"/>
      <c r="S100" s="112"/>
      <c r="T100" s="162"/>
      <c r="U100" s="112"/>
      <c r="V100" s="112"/>
      <c r="W100" s="112"/>
      <c r="X100" s="112"/>
      <c r="Y100" s="112"/>
      <c r="Z100" s="112"/>
      <c r="AA100" s="112">
        <f t="shared" si="9"/>
        <v>108887.78281499998</v>
      </c>
      <c r="AB100" s="112">
        <f t="shared" si="10"/>
        <v>1306.6533937799998</v>
      </c>
    </row>
    <row r="101" spans="1:28" s="155" customFormat="1" ht="25.5">
      <c r="A101" s="84">
        <v>89</v>
      </c>
      <c r="B101" s="150" t="s">
        <v>283</v>
      </c>
      <c r="C101" s="150" t="s">
        <v>288</v>
      </c>
      <c r="D101" s="154" t="s">
        <v>349</v>
      </c>
      <c r="E101" s="84">
        <v>1.5</v>
      </c>
      <c r="F101" s="110"/>
      <c r="G101" s="84">
        <v>2</v>
      </c>
      <c r="H101" s="82"/>
      <c r="I101" s="121">
        <v>2.81</v>
      </c>
      <c r="J101" s="111">
        <v>17697</v>
      </c>
      <c r="K101" s="83">
        <v>1.23</v>
      </c>
      <c r="L101" s="111">
        <f t="shared" si="0"/>
        <v>91749.211649999997</v>
      </c>
      <c r="M101" s="111"/>
      <c r="N101" s="111">
        <f t="shared" si="7"/>
        <v>91749.211649999997</v>
      </c>
      <c r="O101" s="111">
        <f t="shared" si="8"/>
        <v>9174.9211649999997</v>
      </c>
      <c r="P101" s="111"/>
      <c r="Q101" s="162">
        <f t="shared" si="11"/>
        <v>7963.65</v>
      </c>
      <c r="R101" s="162"/>
      <c r="S101" s="112"/>
      <c r="T101" s="162"/>
      <c r="U101" s="112"/>
      <c r="V101" s="112"/>
      <c r="W101" s="112"/>
      <c r="X101" s="112"/>
      <c r="Y101" s="112"/>
      <c r="Z101" s="112"/>
      <c r="AA101" s="112">
        <f t="shared" si="9"/>
        <v>108887.78281499998</v>
      </c>
      <c r="AB101" s="112">
        <f t="shared" si="10"/>
        <v>1306.6533937799998</v>
      </c>
    </row>
    <row r="102" spans="1:28" s="155" customFormat="1" ht="25.5">
      <c r="A102" s="84">
        <v>90</v>
      </c>
      <c r="B102" s="150" t="s">
        <v>283</v>
      </c>
      <c r="C102" s="150" t="s">
        <v>289</v>
      </c>
      <c r="D102" s="154" t="s">
        <v>349</v>
      </c>
      <c r="E102" s="84">
        <v>1.5</v>
      </c>
      <c r="F102" s="110"/>
      <c r="G102" s="84">
        <v>2</v>
      </c>
      <c r="H102" s="82"/>
      <c r="I102" s="121">
        <v>2.81</v>
      </c>
      <c r="J102" s="111">
        <v>17697</v>
      </c>
      <c r="K102" s="83">
        <v>1.23</v>
      </c>
      <c r="L102" s="111">
        <f t="shared" si="0"/>
        <v>91749.211649999997</v>
      </c>
      <c r="M102" s="111"/>
      <c r="N102" s="111">
        <f t="shared" si="7"/>
        <v>91749.211649999997</v>
      </c>
      <c r="O102" s="111">
        <f t="shared" si="8"/>
        <v>9174.9211649999997</v>
      </c>
      <c r="P102" s="111"/>
      <c r="Q102" s="162">
        <f t="shared" si="11"/>
        <v>7963.65</v>
      </c>
      <c r="R102" s="162"/>
      <c r="S102" s="112"/>
      <c r="T102" s="162"/>
      <c r="U102" s="112"/>
      <c r="V102" s="112"/>
      <c r="W102" s="112"/>
      <c r="X102" s="112"/>
      <c r="Y102" s="112"/>
      <c r="Z102" s="112"/>
      <c r="AA102" s="112">
        <f t="shared" si="9"/>
        <v>108887.78281499998</v>
      </c>
      <c r="AB102" s="112">
        <f t="shared" si="10"/>
        <v>1306.6533937799998</v>
      </c>
    </row>
    <row r="103" spans="1:28" s="155" customFormat="1" ht="25.5">
      <c r="A103" s="84">
        <v>91</v>
      </c>
      <c r="B103" s="150" t="s">
        <v>283</v>
      </c>
      <c r="C103" s="150" t="s">
        <v>290</v>
      </c>
      <c r="D103" s="154" t="s">
        <v>349</v>
      </c>
      <c r="E103" s="84">
        <v>1.5</v>
      </c>
      <c r="F103" s="110"/>
      <c r="G103" s="84">
        <v>2</v>
      </c>
      <c r="H103" s="82"/>
      <c r="I103" s="121">
        <v>2.81</v>
      </c>
      <c r="J103" s="111">
        <v>17697</v>
      </c>
      <c r="K103" s="83">
        <v>1.23</v>
      </c>
      <c r="L103" s="111">
        <f t="shared" si="0"/>
        <v>91749.211649999997</v>
      </c>
      <c r="M103" s="111"/>
      <c r="N103" s="111">
        <f t="shared" si="7"/>
        <v>91749.211649999997</v>
      </c>
      <c r="O103" s="111">
        <f t="shared" si="8"/>
        <v>9174.9211649999997</v>
      </c>
      <c r="P103" s="111"/>
      <c r="Q103" s="162">
        <f t="shared" si="11"/>
        <v>7963.65</v>
      </c>
      <c r="R103" s="162"/>
      <c r="S103" s="112"/>
      <c r="T103" s="162"/>
      <c r="U103" s="112"/>
      <c r="V103" s="112"/>
      <c r="W103" s="112"/>
      <c r="X103" s="112"/>
      <c r="Y103" s="112"/>
      <c r="Z103" s="112"/>
      <c r="AA103" s="112">
        <f t="shared" si="9"/>
        <v>108887.78281499998</v>
      </c>
      <c r="AB103" s="112">
        <f t="shared" si="10"/>
        <v>1306.6533937799998</v>
      </c>
    </row>
    <row r="104" spans="1:28" s="155" customFormat="1" ht="25.5">
      <c r="A104" s="84">
        <v>92</v>
      </c>
      <c r="B104" s="150" t="s">
        <v>283</v>
      </c>
      <c r="C104" s="150" t="s">
        <v>291</v>
      </c>
      <c r="D104" s="154" t="s">
        <v>349</v>
      </c>
      <c r="E104" s="84">
        <v>1.5</v>
      </c>
      <c r="F104" s="110"/>
      <c r="G104" s="84">
        <v>2</v>
      </c>
      <c r="H104" s="82"/>
      <c r="I104" s="121">
        <v>2.81</v>
      </c>
      <c r="J104" s="111">
        <v>17697</v>
      </c>
      <c r="K104" s="83">
        <v>1.23</v>
      </c>
      <c r="L104" s="111">
        <f t="shared" si="0"/>
        <v>91749.211649999997</v>
      </c>
      <c r="M104" s="111"/>
      <c r="N104" s="111">
        <f t="shared" si="7"/>
        <v>91749.211649999997</v>
      </c>
      <c r="O104" s="111">
        <f t="shared" si="8"/>
        <v>9174.9211649999997</v>
      </c>
      <c r="P104" s="111"/>
      <c r="Q104" s="162">
        <f t="shared" si="11"/>
        <v>7963.65</v>
      </c>
      <c r="R104" s="162"/>
      <c r="S104" s="112"/>
      <c r="T104" s="162"/>
      <c r="U104" s="112"/>
      <c r="V104" s="112"/>
      <c r="W104" s="112"/>
      <c r="X104" s="112"/>
      <c r="Y104" s="112"/>
      <c r="Z104" s="112"/>
      <c r="AA104" s="112">
        <f t="shared" si="9"/>
        <v>108887.78281499998</v>
      </c>
      <c r="AB104" s="112">
        <f t="shared" si="10"/>
        <v>1306.6533937799998</v>
      </c>
    </row>
    <row r="105" spans="1:28" s="155" customFormat="1" ht="25.5">
      <c r="A105" s="84">
        <v>93</v>
      </c>
      <c r="B105" s="150" t="s">
        <v>283</v>
      </c>
      <c r="C105" s="150" t="s">
        <v>275</v>
      </c>
      <c r="D105" s="154" t="s">
        <v>349</v>
      </c>
      <c r="E105" s="84">
        <v>1</v>
      </c>
      <c r="F105" s="110"/>
      <c r="G105" s="84">
        <v>2</v>
      </c>
      <c r="H105" s="82"/>
      <c r="I105" s="121">
        <v>2.8140000000000001</v>
      </c>
      <c r="J105" s="111">
        <v>17697</v>
      </c>
      <c r="K105" s="83">
        <v>1.23</v>
      </c>
      <c r="L105" s="111">
        <f t="shared" si="0"/>
        <v>61253.210339999998</v>
      </c>
      <c r="M105" s="111"/>
      <c r="N105" s="111">
        <f t="shared" si="7"/>
        <v>61253.210339999998</v>
      </c>
      <c r="O105" s="111">
        <f t="shared" si="8"/>
        <v>6125.3210340000005</v>
      </c>
      <c r="P105" s="111"/>
      <c r="Q105" s="162">
        <f t="shared" si="11"/>
        <v>5309.0999999999995</v>
      </c>
      <c r="R105" s="162"/>
      <c r="S105" s="112"/>
      <c r="T105" s="162"/>
      <c r="U105" s="112"/>
      <c r="V105" s="112"/>
      <c r="W105" s="112"/>
      <c r="X105" s="112"/>
      <c r="Y105" s="112"/>
      <c r="Z105" s="112"/>
      <c r="AA105" s="112">
        <f t="shared" si="9"/>
        <v>72687.631374000004</v>
      </c>
      <c r="AB105" s="112">
        <f t="shared" si="10"/>
        <v>872.25157648800007</v>
      </c>
    </row>
    <row r="106" spans="1:28" s="155" customFormat="1" ht="25.5">
      <c r="A106" s="84">
        <v>94</v>
      </c>
      <c r="B106" s="150" t="s">
        <v>283</v>
      </c>
      <c r="C106" s="150" t="s">
        <v>292</v>
      </c>
      <c r="D106" s="154" t="s">
        <v>349</v>
      </c>
      <c r="E106" s="84">
        <v>0.5</v>
      </c>
      <c r="F106" s="110"/>
      <c r="G106" s="84">
        <v>2</v>
      </c>
      <c r="H106" s="82"/>
      <c r="I106" s="121">
        <v>2.8140000000000001</v>
      </c>
      <c r="J106" s="111">
        <v>17697</v>
      </c>
      <c r="K106" s="83">
        <v>1.23</v>
      </c>
      <c r="L106" s="111">
        <f t="shared" si="0"/>
        <v>30626.605169999999</v>
      </c>
      <c r="M106" s="111"/>
      <c r="N106" s="111">
        <f t="shared" si="7"/>
        <v>30626.605169999999</v>
      </c>
      <c r="O106" s="111">
        <f t="shared" si="8"/>
        <v>3062.6605170000003</v>
      </c>
      <c r="P106" s="111"/>
      <c r="Q106" s="162">
        <f t="shared" si="11"/>
        <v>2654.5499999999997</v>
      </c>
      <c r="R106" s="162"/>
      <c r="S106" s="112"/>
      <c r="T106" s="162"/>
      <c r="U106" s="112"/>
      <c r="V106" s="112"/>
      <c r="W106" s="112"/>
      <c r="X106" s="112"/>
      <c r="Y106" s="112"/>
      <c r="Z106" s="112"/>
      <c r="AA106" s="112">
        <f t="shared" si="9"/>
        <v>36343.815687000002</v>
      </c>
      <c r="AB106" s="112">
        <f t="shared" si="10"/>
        <v>436.12578824400003</v>
      </c>
    </row>
    <row r="107" spans="1:28" s="155" customFormat="1" ht="25.5">
      <c r="A107" s="84">
        <v>95</v>
      </c>
      <c r="B107" s="150" t="s">
        <v>283</v>
      </c>
      <c r="C107" s="150" t="s">
        <v>293</v>
      </c>
      <c r="D107" s="154" t="s">
        <v>349</v>
      </c>
      <c r="E107" s="84">
        <v>1.5</v>
      </c>
      <c r="F107" s="110"/>
      <c r="G107" s="84">
        <v>2</v>
      </c>
      <c r="H107" s="82"/>
      <c r="I107" s="121">
        <v>2.8140000000000001</v>
      </c>
      <c r="J107" s="111">
        <v>17697</v>
      </c>
      <c r="K107" s="83">
        <v>1.23</v>
      </c>
      <c r="L107" s="111">
        <f t="shared" si="0"/>
        <v>91879.81551</v>
      </c>
      <c r="M107" s="111"/>
      <c r="N107" s="111">
        <f t="shared" si="7"/>
        <v>91879.81551</v>
      </c>
      <c r="O107" s="111">
        <f t="shared" si="8"/>
        <v>9187.9815510000008</v>
      </c>
      <c r="P107" s="111"/>
      <c r="Q107" s="162">
        <f t="shared" si="11"/>
        <v>7963.65</v>
      </c>
      <c r="R107" s="162"/>
      <c r="S107" s="112"/>
      <c r="T107" s="162"/>
      <c r="U107" s="112"/>
      <c r="V107" s="112"/>
      <c r="W107" s="112"/>
      <c r="X107" s="112"/>
      <c r="Y107" s="112"/>
      <c r="Z107" s="112"/>
      <c r="AA107" s="112">
        <f t="shared" si="9"/>
        <v>109031.447061</v>
      </c>
      <c r="AB107" s="112">
        <f t="shared" si="10"/>
        <v>1308.3773647319999</v>
      </c>
    </row>
    <row r="108" spans="1:28" s="155" customFormat="1" ht="25.5">
      <c r="A108" s="84">
        <v>96</v>
      </c>
      <c r="B108" s="150" t="s">
        <v>283</v>
      </c>
      <c r="C108" s="150" t="s">
        <v>294</v>
      </c>
      <c r="D108" s="154" t="s">
        <v>349</v>
      </c>
      <c r="E108" s="84">
        <v>1.5</v>
      </c>
      <c r="F108" s="110"/>
      <c r="G108" s="84">
        <v>2</v>
      </c>
      <c r="H108" s="82"/>
      <c r="I108" s="121">
        <v>2.8140000000000001</v>
      </c>
      <c r="J108" s="111">
        <v>17697</v>
      </c>
      <c r="K108" s="83">
        <v>1.23</v>
      </c>
      <c r="L108" s="111">
        <f t="shared" si="0"/>
        <v>91879.81551</v>
      </c>
      <c r="M108" s="111"/>
      <c r="N108" s="111">
        <f t="shared" si="7"/>
        <v>91879.81551</v>
      </c>
      <c r="O108" s="111">
        <f t="shared" si="8"/>
        <v>9187.9815510000008</v>
      </c>
      <c r="P108" s="111"/>
      <c r="Q108" s="162">
        <f t="shared" si="11"/>
        <v>7963.65</v>
      </c>
      <c r="R108" s="162"/>
      <c r="S108" s="112"/>
      <c r="T108" s="162"/>
      <c r="U108" s="112"/>
      <c r="V108" s="112"/>
      <c r="W108" s="112"/>
      <c r="X108" s="112"/>
      <c r="Y108" s="112"/>
      <c r="Z108" s="112"/>
      <c r="AA108" s="112">
        <f t="shared" si="9"/>
        <v>109031.447061</v>
      </c>
      <c r="AB108" s="112">
        <f t="shared" si="10"/>
        <v>1308.3773647319999</v>
      </c>
    </row>
    <row r="109" spans="1:28" s="155" customFormat="1" ht="38.25">
      <c r="A109" s="84">
        <v>97</v>
      </c>
      <c r="B109" s="150" t="s">
        <v>295</v>
      </c>
      <c r="C109" s="150" t="s">
        <v>296</v>
      </c>
      <c r="D109" s="154" t="s">
        <v>349</v>
      </c>
      <c r="E109" s="84">
        <v>1.5</v>
      </c>
      <c r="F109" s="110"/>
      <c r="G109" s="84">
        <v>2</v>
      </c>
      <c r="H109" s="82"/>
      <c r="I109" s="121">
        <v>2.81</v>
      </c>
      <c r="J109" s="111">
        <v>17697</v>
      </c>
      <c r="K109" s="83">
        <v>1.23</v>
      </c>
      <c r="L109" s="111">
        <f t="shared" si="0"/>
        <v>91749.211649999997</v>
      </c>
      <c r="M109" s="111"/>
      <c r="N109" s="111">
        <f t="shared" si="7"/>
        <v>91749.211649999997</v>
      </c>
      <c r="O109" s="111">
        <f t="shared" si="8"/>
        <v>9174.9211649999997</v>
      </c>
      <c r="P109" s="111"/>
      <c r="Q109" s="162">
        <f t="shared" si="11"/>
        <v>7963.65</v>
      </c>
      <c r="R109" s="162"/>
      <c r="S109" s="112"/>
      <c r="T109" s="162"/>
      <c r="U109" s="112"/>
      <c r="V109" s="112"/>
      <c r="W109" s="112"/>
      <c r="X109" s="112"/>
      <c r="Y109" s="112"/>
      <c r="Z109" s="112"/>
      <c r="AA109" s="112">
        <f t="shared" si="9"/>
        <v>108887.78281499998</v>
      </c>
      <c r="AB109" s="112">
        <f t="shared" si="10"/>
        <v>1306.6533937799998</v>
      </c>
    </row>
    <row r="110" spans="1:28" s="155" customFormat="1" ht="24" customHeight="1">
      <c r="A110" s="84">
        <v>98</v>
      </c>
      <c r="B110" s="150" t="s">
        <v>295</v>
      </c>
      <c r="C110" s="150" t="s">
        <v>141</v>
      </c>
      <c r="D110" s="154" t="s">
        <v>349</v>
      </c>
      <c r="E110" s="84">
        <v>0.5</v>
      </c>
      <c r="F110" s="110"/>
      <c r="G110" s="84">
        <v>2</v>
      </c>
      <c r="H110" s="82"/>
      <c r="I110" s="121">
        <v>2.81</v>
      </c>
      <c r="J110" s="111">
        <v>17697</v>
      </c>
      <c r="K110" s="83">
        <v>1.23</v>
      </c>
      <c r="L110" s="111">
        <f t="shared" si="0"/>
        <v>30583.07055</v>
      </c>
      <c r="M110" s="111"/>
      <c r="N110" s="111">
        <f t="shared" si="7"/>
        <v>30583.07055</v>
      </c>
      <c r="O110" s="111">
        <f t="shared" si="8"/>
        <v>3058.3070550000002</v>
      </c>
      <c r="P110" s="111"/>
      <c r="Q110" s="162">
        <f t="shared" si="11"/>
        <v>2654.5499999999997</v>
      </c>
      <c r="R110" s="162"/>
      <c r="S110" s="112"/>
      <c r="T110" s="162"/>
      <c r="U110" s="112"/>
      <c r="V110" s="112"/>
      <c r="W110" s="112"/>
      <c r="X110" s="112"/>
      <c r="Y110" s="112"/>
      <c r="Z110" s="112"/>
      <c r="AA110" s="112">
        <f t="shared" si="9"/>
        <v>36295.927605000004</v>
      </c>
      <c r="AB110" s="112">
        <f t="shared" si="10"/>
        <v>435.55113126000003</v>
      </c>
    </row>
    <row r="111" spans="1:28" s="155" customFormat="1" ht="38.25">
      <c r="A111" s="84">
        <v>99</v>
      </c>
      <c r="B111" s="150" t="s">
        <v>297</v>
      </c>
      <c r="C111" s="150" t="s">
        <v>281</v>
      </c>
      <c r="D111" s="154" t="s">
        <v>349</v>
      </c>
      <c r="E111" s="84">
        <v>0.5</v>
      </c>
      <c r="F111" s="110"/>
      <c r="G111" s="84">
        <v>2</v>
      </c>
      <c r="H111" s="82"/>
      <c r="I111" s="121">
        <v>2.81</v>
      </c>
      <c r="J111" s="111">
        <v>17697</v>
      </c>
      <c r="K111" s="83">
        <v>1.23</v>
      </c>
      <c r="L111" s="111">
        <f t="shared" si="0"/>
        <v>30583.07055</v>
      </c>
      <c r="M111" s="111"/>
      <c r="N111" s="111">
        <f t="shared" si="7"/>
        <v>30583.07055</v>
      </c>
      <c r="O111" s="111">
        <f t="shared" si="8"/>
        <v>3058.3070550000002</v>
      </c>
      <c r="P111" s="111"/>
      <c r="Q111" s="162"/>
      <c r="R111" s="162"/>
      <c r="S111" s="112"/>
      <c r="T111" s="162"/>
      <c r="U111" s="112"/>
      <c r="V111" s="112"/>
      <c r="W111" s="112"/>
      <c r="X111" s="112"/>
      <c r="Y111" s="112"/>
      <c r="Z111" s="112"/>
      <c r="AA111" s="112">
        <f t="shared" si="9"/>
        <v>33641.377605000001</v>
      </c>
      <c r="AB111" s="112">
        <f t="shared" si="10"/>
        <v>403.69653126000003</v>
      </c>
    </row>
    <row r="112" spans="1:28" s="155" customFormat="1" ht="38.25">
      <c r="A112" s="84">
        <v>100</v>
      </c>
      <c r="B112" s="150" t="s">
        <v>297</v>
      </c>
      <c r="C112" s="150" t="s">
        <v>298</v>
      </c>
      <c r="D112" s="154" t="s">
        <v>349</v>
      </c>
      <c r="E112" s="84">
        <v>1.5</v>
      </c>
      <c r="F112" s="110"/>
      <c r="G112" s="84">
        <v>2</v>
      </c>
      <c r="H112" s="82"/>
      <c r="I112" s="121">
        <v>2.81</v>
      </c>
      <c r="J112" s="111">
        <v>17697</v>
      </c>
      <c r="K112" s="83">
        <v>1.23</v>
      </c>
      <c r="L112" s="111">
        <f t="shared" si="0"/>
        <v>91749.211649999997</v>
      </c>
      <c r="M112" s="111"/>
      <c r="N112" s="111">
        <f t="shared" si="7"/>
        <v>91749.211649999997</v>
      </c>
      <c r="O112" s="111">
        <f t="shared" si="8"/>
        <v>9174.9211649999997</v>
      </c>
      <c r="P112" s="111"/>
      <c r="Q112" s="162"/>
      <c r="R112" s="162"/>
      <c r="S112" s="112"/>
      <c r="T112" s="162"/>
      <c r="U112" s="112"/>
      <c r="V112" s="112"/>
      <c r="W112" s="112"/>
      <c r="X112" s="112"/>
      <c r="Y112" s="112"/>
      <c r="Z112" s="112"/>
      <c r="AA112" s="112">
        <f t="shared" si="9"/>
        <v>100924.13281499999</v>
      </c>
      <c r="AB112" s="112">
        <f t="shared" si="10"/>
        <v>1211.0895937799999</v>
      </c>
    </row>
    <row r="113" spans="1:28" s="155" customFormat="1" ht="38.25">
      <c r="A113" s="84">
        <v>101</v>
      </c>
      <c r="B113" s="150" t="s">
        <v>297</v>
      </c>
      <c r="C113" s="150" t="s">
        <v>299</v>
      </c>
      <c r="D113" s="154" t="s">
        <v>349</v>
      </c>
      <c r="E113" s="84">
        <v>1.5</v>
      </c>
      <c r="F113" s="110"/>
      <c r="G113" s="85">
        <v>2</v>
      </c>
      <c r="H113" s="82"/>
      <c r="I113" s="121">
        <v>2.81</v>
      </c>
      <c r="J113" s="111">
        <v>17697</v>
      </c>
      <c r="K113" s="83">
        <v>1.23</v>
      </c>
      <c r="L113" s="111">
        <f t="shared" si="0"/>
        <v>91749.211649999997</v>
      </c>
      <c r="M113" s="111"/>
      <c r="N113" s="111">
        <f t="shared" si="7"/>
        <v>91749.211649999997</v>
      </c>
      <c r="O113" s="111">
        <f t="shared" si="8"/>
        <v>9174.9211649999997</v>
      </c>
      <c r="P113" s="111"/>
      <c r="Q113" s="162"/>
      <c r="R113" s="162"/>
      <c r="S113" s="112"/>
      <c r="T113" s="162"/>
      <c r="U113" s="112"/>
      <c r="V113" s="112"/>
      <c r="W113" s="112"/>
      <c r="X113" s="112"/>
      <c r="Y113" s="112"/>
      <c r="Z113" s="112"/>
      <c r="AA113" s="112">
        <f t="shared" si="9"/>
        <v>100924.13281499999</v>
      </c>
      <c r="AB113" s="112">
        <f t="shared" si="10"/>
        <v>1211.0895937799999</v>
      </c>
    </row>
    <row r="114" spans="1:28" s="155" customFormat="1" ht="38.25">
      <c r="A114" s="84">
        <v>102</v>
      </c>
      <c r="B114" s="150" t="s">
        <v>297</v>
      </c>
      <c r="C114" s="150" t="s">
        <v>300</v>
      </c>
      <c r="D114" s="154" t="s">
        <v>349</v>
      </c>
      <c r="E114" s="84">
        <v>0.5</v>
      </c>
      <c r="F114" s="110"/>
      <c r="G114" s="84">
        <v>2</v>
      </c>
      <c r="H114" s="82"/>
      <c r="I114" s="121">
        <v>2.81</v>
      </c>
      <c r="J114" s="111">
        <v>17697</v>
      </c>
      <c r="K114" s="83">
        <v>1.23</v>
      </c>
      <c r="L114" s="111">
        <f t="shared" si="0"/>
        <v>30583.07055</v>
      </c>
      <c r="M114" s="111"/>
      <c r="N114" s="111">
        <f t="shared" si="7"/>
        <v>30583.07055</v>
      </c>
      <c r="O114" s="111">
        <f t="shared" si="8"/>
        <v>3058.3070550000002</v>
      </c>
      <c r="P114" s="111"/>
      <c r="Q114" s="162"/>
      <c r="R114" s="162"/>
      <c r="S114" s="112"/>
      <c r="T114" s="162"/>
      <c r="U114" s="112"/>
      <c r="V114" s="112"/>
      <c r="W114" s="112"/>
      <c r="X114" s="112"/>
      <c r="Y114" s="112"/>
      <c r="Z114" s="112"/>
      <c r="AA114" s="112">
        <f t="shared" si="9"/>
        <v>33641.377605000001</v>
      </c>
      <c r="AB114" s="112">
        <f t="shared" si="10"/>
        <v>403.69653126000003</v>
      </c>
    </row>
    <row r="115" spans="1:28" s="155" customFormat="1" ht="12.75">
      <c r="A115" s="84">
        <v>103</v>
      </c>
      <c r="B115" s="150" t="s">
        <v>301</v>
      </c>
      <c r="C115" s="150" t="s">
        <v>302</v>
      </c>
      <c r="D115" s="154" t="s">
        <v>349</v>
      </c>
      <c r="E115" s="84">
        <v>1</v>
      </c>
      <c r="F115" s="110"/>
      <c r="G115" s="84">
        <v>1</v>
      </c>
      <c r="H115" s="82"/>
      <c r="I115" s="124">
        <v>2.77</v>
      </c>
      <c r="J115" s="111">
        <v>17697</v>
      </c>
      <c r="K115" s="83">
        <v>1.23</v>
      </c>
      <c r="L115" s="111">
        <f t="shared" si="0"/>
        <v>60295.448700000001</v>
      </c>
      <c r="M115" s="111"/>
      <c r="N115" s="111">
        <f t="shared" si="7"/>
        <v>60295.448700000001</v>
      </c>
      <c r="O115" s="111">
        <f t="shared" si="8"/>
        <v>6029.5448700000006</v>
      </c>
      <c r="P115" s="111"/>
      <c r="Q115" s="162"/>
      <c r="R115" s="162"/>
      <c r="S115" s="112"/>
      <c r="T115" s="162"/>
      <c r="U115" s="112"/>
      <c r="V115" s="112"/>
      <c r="W115" s="112"/>
      <c r="X115" s="112"/>
      <c r="Y115" s="112"/>
      <c r="Z115" s="112"/>
      <c r="AA115" s="112">
        <f t="shared" si="9"/>
        <v>66324.993570000006</v>
      </c>
      <c r="AB115" s="112">
        <f t="shared" si="10"/>
        <v>795.89992284000016</v>
      </c>
    </row>
    <row r="116" spans="1:28" s="155" customFormat="1" ht="25.5">
      <c r="A116" s="84">
        <v>104</v>
      </c>
      <c r="B116" s="150" t="s">
        <v>303</v>
      </c>
      <c r="C116" s="150" t="s">
        <v>302</v>
      </c>
      <c r="D116" s="154" t="s">
        <v>349</v>
      </c>
      <c r="E116" s="84">
        <v>0.5</v>
      </c>
      <c r="F116" s="110"/>
      <c r="G116" s="84">
        <v>1</v>
      </c>
      <c r="H116" s="82"/>
      <c r="I116" s="121">
        <v>2.77</v>
      </c>
      <c r="J116" s="111">
        <v>17697</v>
      </c>
      <c r="K116" s="83">
        <v>1.23</v>
      </c>
      <c r="L116" s="111">
        <f t="shared" si="0"/>
        <v>30147.72435</v>
      </c>
      <c r="M116" s="111"/>
      <c r="N116" s="111">
        <f t="shared" si="7"/>
        <v>30147.72435</v>
      </c>
      <c r="O116" s="111">
        <f t="shared" si="8"/>
        <v>3014.7724350000003</v>
      </c>
      <c r="P116" s="111"/>
      <c r="Q116" s="162">
        <f>J116*30%*E116</f>
        <v>2654.5499999999997</v>
      </c>
      <c r="R116" s="162"/>
      <c r="S116" s="112"/>
      <c r="T116" s="162"/>
      <c r="U116" s="112"/>
      <c r="V116" s="112"/>
      <c r="W116" s="112"/>
      <c r="X116" s="112"/>
      <c r="Y116" s="112"/>
      <c r="Z116" s="112"/>
      <c r="AA116" s="112">
        <f t="shared" si="9"/>
        <v>35817.046785000006</v>
      </c>
      <c r="AB116" s="112">
        <f t="shared" si="10"/>
        <v>429.80456142000003</v>
      </c>
    </row>
    <row r="117" spans="1:28" s="155" customFormat="1" ht="25.5">
      <c r="A117" s="84">
        <v>105</v>
      </c>
      <c r="B117" s="150" t="s">
        <v>303</v>
      </c>
      <c r="C117" s="150" t="s">
        <v>279</v>
      </c>
      <c r="D117" s="154" t="s">
        <v>350</v>
      </c>
      <c r="E117" s="110">
        <v>0.5</v>
      </c>
      <c r="F117" s="110"/>
      <c r="G117" s="84">
        <v>1</v>
      </c>
      <c r="H117" s="82"/>
      <c r="I117" s="121">
        <v>2.77</v>
      </c>
      <c r="J117" s="111">
        <v>17697</v>
      </c>
      <c r="K117" s="83">
        <v>1.23</v>
      </c>
      <c r="L117" s="111">
        <f>(I117*17697*E117)*K117</f>
        <v>30147.72435</v>
      </c>
      <c r="M117" s="111"/>
      <c r="N117" s="111">
        <f>L117+M117</f>
        <v>30147.72435</v>
      </c>
      <c r="O117" s="111">
        <f>N117*10%</f>
        <v>3014.7724350000003</v>
      </c>
      <c r="P117" s="111"/>
      <c r="Q117" s="162">
        <f>J117*30%*E117</f>
        <v>2654.5499999999997</v>
      </c>
      <c r="R117" s="162"/>
      <c r="S117" s="112"/>
      <c r="T117" s="162"/>
      <c r="U117" s="112"/>
      <c r="V117" s="112"/>
      <c r="W117" s="112"/>
      <c r="X117" s="112"/>
      <c r="Y117" s="112"/>
      <c r="Z117" s="112"/>
      <c r="AA117" s="112">
        <f>SUM(N117:Z117)</f>
        <v>35817.046785000006</v>
      </c>
      <c r="AB117" s="112">
        <f>AA117*12/1000</f>
        <v>429.80456142000003</v>
      </c>
    </row>
    <row r="118" spans="1:28" s="155" customFormat="1" ht="25.5">
      <c r="A118" s="84">
        <v>106</v>
      </c>
      <c r="B118" s="150" t="s">
        <v>304</v>
      </c>
      <c r="C118" s="150" t="s">
        <v>305</v>
      </c>
      <c r="D118" s="154" t="s">
        <v>349</v>
      </c>
      <c r="E118" s="84">
        <v>1</v>
      </c>
      <c r="F118" s="110"/>
      <c r="G118" s="84">
        <v>1</v>
      </c>
      <c r="H118" s="82"/>
      <c r="I118" s="121">
        <v>2.77</v>
      </c>
      <c r="J118" s="111">
        <v>17697</v>
      </c>
      <c r="K118" s="83">
        <v>1.23</v>
      </c>
      <c r="L118" s="111">
        <f t="shared" si="0"/>
        <v>60295.448700000001</v>
      </c>
      <c r="M118" s="111"/>
      <c r="N118" s="111">
        <f t="shared" si="7"/>
        <v>60295.448700000001</v>
      </c>
      <c r="O118" s="111">
        <f t="shared" si="8"/>
        <v>6029.5448700000006</v>
      </c>
      <c r="P118" s="111"/>
      <c r="Q118" s="162"/>
      <c r="R118" s="162"/>
      <c r="S118" s="112"/>
      <c r="T118" s="112">
        <f t="shared" ref="T118:T123" si="12">N118/20.42/8*243.33/2/3</f>
        <v>14968.669943857125</v>
      </c>
      <c r="U118" s="112"/>
      <c r="V118" s="112"/>
      <c r="W118" s="112"/>
      <c r="X118" s="112"/>
      <c r="Y118" s="112"/>
      <c r="Z118" s="112"/>
      <c r="AA118" s="112">
        <f t="shared" si="9"/>
        <v>81293.663513857129</v>
      </c>
      <c r="AB118" s="112">
        <f t="shared" si="10"/>
        <v>975.52396216628563</v>
      </c>
    </row>
    <row r="119" spans="1:28" s="155" customFormat="1" ht="25.5">
      <c r="A119" s="84">
        <v>107</v>
      </c>
      <c r="B119" s="150" t="s">
        <v>304</v>
      </c>
      <c r="C119" s="150" t="s">
        <v>306</v>
      </c>
      <c r="D119" s="154" t="s">
        <v>349</v>
      </c>
      <c r="E119" s="84">
        <v>1</v>
      </c>
      <c r="F119" s="110"/>
      <c r="G119" s="84">
        <v>1</v>
      </c>
      <c r="H119" s="82"/>
      <c r="I119" s="121">
        <v>2.77</v>
      </c>
      <c r="J119" s="111">
        <v>17697</v>
      </c>
      <c r="K119" s="83">
        <v>1.23</v>
      </c>
      <c r="L119" s="111">
        <f t="shared" si="0"/>
        <v>60295.448700000001</v>
      </c>
      <c r="M119" s="111"/>
      <c r="N119" s="111">
        <f t="shared" si="7"/>
        <v>60295.448700000001</v>
      </c>
      <c r="O119" s="111">
        <f t="shared" si="8"/>
        <v>6029.5448700000006</v>
      </c>
      <c r="P119" s="111"/>
      <c r="Q119" s="162"/>
      <c r="R119" s="162"/>
      <c r="S119" s="112"/>
      <c r="T119" s="112">
        <f t="shared" si="12"/>
        <v>14968.669943857125</v>
      </c>
      <c r="U119" s="112"/>
      <c r="V119" s="112"/>
      <c r="W119" s="112"/>
      <c r="X119" s="112"/>
      <c r="Y119" s="112"/>
      <c r="Z119" s="112"/>
      <c r="AA119" s="112">
        <f t="shared" si="9"/>
        <v>81293.663513857129</v>
      </c>
      <c r="AB119" s="112">
        <f t="shared" si="10"/>
        <v>975.52396216628563</v>
      </c>
    </row>
    <row r="120" spans="1:28" s="155" customFormat="1" ht="25.5">
      <c r="A120" s="84">
        <v>108</v>
      </c>
      <c r="B120" s="150" t="s">
        <v>304</v>
      </c>
      <c r="C120" s="150" t="s">
        <v>307</v>
      </c>
      <c r="D120" s="154" t="s">
        <v>349</v>
      </c>
      <c r="E120" s="84">
        <v>1</v>
      </c>
      <c r="F120" s="110"/>
      <c r="G120" s="84">
        <v>1</v>
      </c>
      <c r="H120" s="82"/>
      <c r="I120" s="121">
        <v>2.77</v>
      </c>
      <c r="J120" s="111">
        <v>17697</v>
      </c>
      <c r="K120" s="83">
        <v>1.23</v>
      </c>
      <c r="L120" s="111">
        <f t="shared" si="0"/>
        <v>60295.448700000001</v>
      </c>
      <c r="M120" s="111"/>
      <c r="N120" s="111">
        <f t="shared" si="7"/>
        <v>60295.448700000001</v>
      </c>
      <c r="O120" s="111">
        <f t="shared" si="8"/>
        <v>6029.5448700000006</v>
      </c>
      <c r="P120" s="111"/>
      <c r="Q120" s="162"/>
      <c r="R120" s="162"/>
      <c r="S120" s="112"/>
      <c r="T120" s="112">
        <f t="shared" si="12"/>
        <v>14968.669943857125</v>
      </c>
      <c r="U120" s="112"/>
      <c r="V120" s="112"/>
      <c r="W120" s="112"/>
      <c r="X120" s="112"/>
      <c r="Y120" s="112"/>
      <c r="Z120" s="112"/>
      <c r="AA120" s="112">
        <f t="shared" si="9"/>
        <v>81293.663513857129</v>
      </c>
      <c r="AB120" s="112">
        <f t="shared" si="10"/>
        <v>975.52396216628563</v>
      </c>
    </row>
    <row r="121" spans="1:28" s="155" customFormat="1" ht="12.75">
      <c r="A121" s="84">
        <v>109</v>
      </c>
      <c r="B121" s="150" t="s">
        <v>304</v>
      </c>
      <c r="C121" s="150" t="s">
        <v>308</v>
      </c>
      <c r="D121" s="154" t="s">
        <v>349</v>
      </c>
      <c r="E121" s="84">
        <v>1</v>
      </c>
      <c r="F121" s="110"/>
      <c r="G121" s="84">
        <v>1</v>
      </c>
      <c r="H121" s="82"/>
      <c r="I121" s="121">
        <v>2.77</v>
      </c>
      <c r="J121" s="111">
        <v>17697</v>
      </c>
      <c r="K121" s="83">
        <v>1.23</v>
      </c>
      <c r="L121" s="111">
        <f t="shared" si="0"/>
        <v>60295.448700000001</v>
      </c>
      <c r="M121" s="111"/>
      <c r="N121" s="111">
        <f t="shared" si="7"/>
        <v>60295.448700000001</v>
      </c>
      <c r="O121" s="111">
        <f t="shared" si="8"/>
        <v>6029.5448700000006</v>
      </c>
      <c r="P121" s="111"/>
      <c r="Q121" s="162"/>
      <c r="R121" s="162"/>
      <c r="S121" s="112"/>
      <c r="T121" s="112">
        <f t="shared" si="12"/>
        <v>14968.669943857125</v>
      </c>
      <c r="U121" s="112"/>
      <c r="V121" s="112"/>
      <c r="W121" s="112"/>
      <c r="X121" s="112"/>
      <c r="Y121" s="112"/>
      <c r="Z121" s="112"/>
      <c r="AA121" s="112">
        <f t="shared" si="9"/>
        <v>81293.663513857129</v>
      </c>
      <c r="AB121" s="112">
        <f t="shared" si="10"/>
        <v>975.52396216628563</v>
      </c>
    </row>
    <row r="122" spans="1:28" s="155" customFormat="1" ht="12.75">
      <c r="A122" s="84">
        <v>110</v>
      </c>
      <c r="B122" s="150" t="s">
        <v>304</v>
      </c>
      <c r="C122" s="150" t="s">
        <v>309</v>
      </c>
      <c r="D122" s="154" t="s">
        <v>349</v>
      </c>
      <c r="E122" s="84">
        <v>1</v>
      </c>
      <c r="F122" s="110"/>
      <c r="G122" s="84">
        <v>1</v>
      </c>
      <c r="H122" s="82"/>
      <c r="I122" s="121">
        <v>2.77</v>
      </c>
      <c r="J122" s="111">
        <v>17697</v>
      </c>
      <c r="K122" s="83">
        <v>1.23</v>
      </c>
      <c r="L122" s="111">
        <f t="shared" si="0"/>
        <v>60295.448700000001</v>
      </c>
      <c r="M122" s="111"/>
      <c r="N122" s="111">
        <f t="shared" si="7"/>
        <v>60295.448700000001</v>
      </c>
      <c r="O122" s="111">
        <f t="shared" si="8"/>
        <v>6029.5448700000006</v>
      </c>
      <c r="P122" s="111"/>
      <c r="Q122" s="162"/>
      <c r="R122" s="162"/>
      <c r="S122" s="112"/>
      <c r="T122" s="112">
        <f t="shared" si="12"/>
        <v>14968.669943857125</v>
      </c>
      <c r="U122" s="112"/>
      <c r="V122" s="112"/>
      <c r="W122" s="112"/>
      <c r="X122" s="112"/>
      <c r="Y122" s="112"/>
      <c r="Z122" s="112"/>
      <c r="AA122" s="112">
        <f t="shared" si="9"/>
        <v>81293.663513857129</v>
      </c>
      <c r="AB122" s="112">
        <f t="shared" si="10"/>
        <v>975.52396216628563</v>
      </c>
    </row>
    <row r="123" spans="1:28" s="155" customFormat="1" ht="12.75">
      <c r="A123" s="84">
        <v>111</v>
      </c>
      <c r="B123" s="150" t="s">
        <v>304</v>
      </c>
      <c r="C123" s="150" t="s">
        <v>310</v>
      </c>
      <c r="D123" s="154" t="s">
        <v>349</v>
      </c>
      <c r="E123" s="84">
        <v>1</v>
      </c>
      <c r="F123" s="110"/>
      <c r="G123" s="84">
        <v>1</v>
      </c>
      <c r="H123" s="82"/>
      <c r="I123" s="121">
        <v>2.77</v>
      </c>
      <c r="J123" s="111">
        <v>17697</v>
      </c>
      <c r="K123" s="83">
        <v>1.23</v>
      </c>
      <c r="L123" s="111">
        <f t="shared" si="0"/>
        <v>60295.448700000001</v>
      </c>
      <c r="M123" s="111"/>
      <c r="N123" s="111">
        <f t="shared" si="7"/>
        <v>60295.448700000001</v>
      </c>
      <c r="O123" s="111">
        <f t="shared" si="8"/>
        <v>6029.5448700000006</v>
      </c>
      <c r="P123" s="111"/>
      <c r="Q123" s="162"/>
      <c r="R123" s="162"/>
      <c r="S123" s="112"/>
      <c r="T123" s="112">
        <f t="shared" si="12"/>
        <v>14968.669943857125</v>
      </c>
      <c r="U123" s="112"/>
      <c r="V123" s="112"/>
      <c r="W123" s="112"/>
      <c r="X123" s="112"/>
      <c r="Y123" s="112"/>
      <c r="Z123" s="112"/>
      <c r="AA123" s="112">
        <f t="shared" si="9"/>
        <v>81293.663513857129</v>
      </c>
      <c r="AB123" s="112">
        <f t="shared" si="10"/>
        <v>975.52396216628563</v>
      </c>
    </row>
    <row r="124" spans="1:28" s="155" customFormat="1" ht="25.5">
      <c r="A124" s="84">
        <v>112</v>
      </c>
      <c r="B124" s="150" t="s">
        <v>311</v>
      </c>
      <c r="C124" s="150" t="s">
        <v>272</v>
      </c>
      <c r="D124" s="154" t="s">
        <v>349</v>
      </c>
      <c r="E124" s="84">
        <v>0.5</v>
      </c>
      <c r="F124" s="110"/>
      <c r="G124" s="84">
        <v>1</v>
      </c>
      <c r="H124" s="82"/>
      <c r="I124" s="121">
        <v>2.77</v>
      </c>
      <c r="J124" s="111">
        <v>17697</v>
      </c>
      <c r="K124" s="83">
        <v>1.23</v>
      </c>
      <c r="L124" s="111">
        <f t="shared" si="0"/>
        <v>30147.72435</v>
      </c>
      <c r="M124" s="111"/>
      <c r="N124" s="111">
        <f t="shared" si="7"/>
        <v>30147.72435</v>
      </c>
      <c r="O124" s="111">
        <f t="shared" si="8"/>
        <v>3014.7724350000003</v>
      </c>
      <c r="P124" s="111"/>
      <c r="Q124" s="164"/>
      <c r="R124" s="162"/>
      <c r="S124" s="112"/>
      <c r="T124" s="162"/>
      <c r="U124" s="112"/>
      <c r="V124" s="112"/>
      <c r="W124" s="112"/>
      <c r="X124" s="112"/>
      <c r="Y124" s="112"/>
      <c r="Z124" s="112"/>
      <c r="AA124" s="112">
        <f t="shared" si="9"/>
        <v>33162.496785000003</v>
      </c>
      <c r="AB124" s="112">
        <f t="shared" si="10"/>
        <v>397.94996142000008</v>
      </c>
    </row>
    <row r="125" spans="1:28" s="155" customFormat="1" ht="12.75">
      <c r="A125" s="84">
        <v>113</v>
      </c>
      <c r="B125" s="150" t="s">
        <v>311</v>
      </c>
      <c r="C125" s="150" t="s">
        <v>292</v>
      </c>
      <c r="D125" s="154" t="s">
        <v>349</v>
      </c>
      <c r="E125" s="84">
        <v>1</v>
      </c>
      <c r="F125" s="110"/>
      <c r="G125" s="84">
        <v>1</v>
      </c>
      <c r="H125" s="82"/>
      <c r="I125" s="121">
        <v>2.77</v>
      </c>
      <c r="J125" s="111">
        <v>17697</v>
      </c>
      <c r="K125" s="83">
        <v>1.23</v>
      </c>
      <c r="L125" s="111">
        <f t="shared" si="0"/>
        <v>60295.448700000001</v>
      </c>
      <c r="M125" s="111"/>
      <c r="N125" s="111">
        <f t="shared" si="7"/>
        <v>60295.448700000001</v>
      </c>
      <c r="O125" s="111">
        <f t="shared" si="8"/>
        <v>6029.5448700000006</v>
      </c>
      <c r="P125" s="111"/>
      <c r="Q125" s="162"/>
      <c r="R125" s="162"/>
      <c r="S125" s="112"/>
      <c r="T125" s="162"/>
      <c r="U125" s="112"/>
      <c r="V125" s="112"/>
      <c r="W125" s="112"/>
      <c r="X125" s="112"/>
      <c r="Y125" s="112"/>
      <c r="Z125" s="112"/>
      <c r="AA125" s="112">
        <f t="shared" si="9"/>
        <v>66324.993570000006</v>
      </c>
      <c r="AB125" s="112">
        <f t="shared" si="10"/>
        <v>795.89992284000016</v>
      </c>
    </row>
    <row r="126" spans="1:28" s="155" customFormat="1" ht="25.5">
      <c r="A126" s="84">
        <v>114</v>
      </c>
      <c r="B126" s="150" t="s">
        <v>311</v>
      </c>
      <c r="C126" s="150" t="s">
        <v>312</v>
      </c>
      <c r="D126" s="154" t="s">
        <v>349</v>
      </c>
      <c r="E126" s="84">
        <v>1.5</v>
      </c>
      <c r="F126" s="110"/>
      <c r="G126" s="84">
        <v>1</v>
      </c>
      <c r="H126" s="82"/>
      <c r="I126" s="121">
        <v>2.77</v>
      </c>
      <c r="J126" s="111">
        <v>17697</v>
      </c>
      <c r="K126" s="83">
        <v>1.23</v>
      </c>
      <c r="L126" s="111">
        <f t="shared" si="0"/>
        <v>90443.173049999998</v>
      </c>
      <c r="M126" s="111"/>
      <c r="N126" s="111">
        <f t="shared" si="7"/>
        <v>90443.173049999998</v>
      </c>
      <c r="O126" s="111">
        <f t="shared" si="8"/>
        <v>9044.3173050000005</v>
      </c>
      <c r="P126" s="111"/>
      <c r="Q126" s="162"/>
      <c r="R126" s="162"/>
      <c r="S126" s="112"/>
      <c r="T126" s="162"/>
      <c r="U126" s="112"/>
      <c r="V126" s="112"/>
      <c r="W126" s="112"/>
      <c r="X126" s="112"/>
      <c r="Y126" s="112"/>
      <c r="Z126" s="112"/>
      <c r="AA126" s="112">
        <f t="shared" si="9"/>
        <v>99487.490355000002</v>
      </c>
      <c r="AB126" s="112">
        <f t="shared" si="10"/>
        <v>1193.84988426</v>
      </c>
    </row>
    <row r="127" spans="1:28" s="155" customFormat="1" ht="12.75">
      <c r="A127" s="84">
        <v>115</v>
      </c>
      <c r="B127" s="150" t="s">
        <v>311</v>
      </c>
      <c r="C127" s="150" t="s">
        <v>313</v>
      </c>
      <c r="D127" s="154" t="s">
        <v>349</v>
      </c>
      <c r="E127" s="84">
        <v>0.5</v>
      </c>
      <c r="F127" s="110"/>
      <c r="G127" s="84">
        <v>1</v>
      </c>
      <c r="H127" s="82"/>
      <c r="I127" s="121">
        <v>2.77</v>
      </c>
      <c r="J127" s="111">
        <v>17697</v>
      </c>
      <c r="K127" s="83">
        <v>1.23</v>
      </c>
      <c r="L127" s="111">
        <f t="shared" si="0"/>
        <v>30147.72435</v>
      </c>
      <c r="M127" s="111"/>
      <c r="N127" s="111">
        <f t="shared" si="7"/>
        <v>30147.72435</v>
      </c>
      <c r="O127" s="111">
        <f t="shared" si="8"/>
        <v>3014.7724350000003</v>
      </c>
      <c r="P127" s="111"/>
      <c r="Q127" s="162"/>
      <c r="R127" s="162"/>
      <c r="S127" s="112"/>
      <c r="T127" s="162"/>
      <c r="U127" s="112"/>
      <c r="V127" s="112"/>
      <c r="W127" s="112"/>
      <c r="X127" s="112"/>
      <c r="Y127" s="112"/>
      <c r="Z127" s="112"/>
      <c r="AA127" s="112">
        <f t="shared" si="9"/>
        <v>33162.496785000003</v>
      </c>
      <c r="AB127" s="112">
        <f t="shared" si="10"/>
        <v>397.94996142000008</v>
      </c>
    </row>
    <row r="128" spans="1:28" s="155" customFormat="1" ht="25.5">
      <c r="A128" s="84">
        <v>116</v>
      </c>
      <c r="B128" s="150" t="s">
        <v>311</v>
      </c>
      <c r="C128" s="150" t="s">
        <v>190</v>
      </c>
      <c r="D128" s="154" t="s">
        <v>349</v>
      </c>
      <c r="E128" s="84">
        <v>0.5</v>
      </c>
      <c r="F128" s="110"/>
      <c r="G128" s="84">
        <v>1</v>
      </c>
      <c r="H128" s="82"/>
      <c r="I128" s="121">
        <v>2.77</v>
      </c>
      <c r="J128" s="111">
        <v>17697</v>
      </c>
      <c r="K128" s="83">
        <v>1.23</v>
      </c>
      <c r="L128" s="111">
        <f t="shared" si="0"/>
        <v>30147.72435</v>
      </c>
      <c r="M128" s="111"/>
      <c r="N128" s="111">
        <f t="shared" si="7"/>
        <v>30147.72435</v>
      </c>
      <c r="O128" s="111">
        <f t="shared" si="8"/>
        <v>3014.7724350000003</v>
      </c>
      <c r="P128" s="111"/>
      <c r="Q128" s="162"/>
      <c r="R128" s="162"/>
      <c r="S128" s="112"/>
      <c r="T128" s="162"/>
      <c r="U128" s="112"/>
      <c r="V128" s="112"/>
      <c r="W128" s="112"/>
      <c r="X128" s="112"/>
      <c r="Y128" s="112"/>
      <c r="Z128" s="112"/>
      <c r="AA128" s="112">
        <f t="shared" si="9"/>
        <v>33162.496785000003</v>
      </c>
      <c r="AB128" s="112">
        <f t="shared" si="10"/>
        <v>397.94996142000008</v>
      </c>
    </row>
    <row r="129" spans="1:30" s="155" customFormat="1" ht="25.5">
      <c r="A129" s="84">
        <v>117</v>
      </c>
      <c r="B129" s="150" t="s">
        <v>314</v>
      </c>
      <c r="C129" s="150" t="s">
        <v>315</v>
      </c>
      <c r="D129" s="154" t="s">
        <v>350</v>
      </c>
      <c r="E129" s="84">
        <v>1</v>
      </c>
      <c r="F129" s="110"/>
      <c r="G129" s="84">
        <v>2</v>
      </c>
      <c r="H129" s="82"/>
      <c r="I129" s="124">
        <v>2.81</v>
      </c>
      <c r="J129" s="111">
        <v>17697</v>
      </c>
      <c r="K129" s="83">
        <v>1.23</v>
      </c>
      <c r="L129" s="111">
        <f t="shared" si="0"/>
        <v>61166.141100000001</v>
      </c>
      <c r="M129" s="111"/>
      <c r="N129" s="111">
        <f t="shared" si="7"/>
        <v>61166.141100000001</v>
      </c>
      <c r="O129" s="111">
        <f t="shared" si="8"/>
        <v>6116.6141100000004</v>
      </c>
      <c r="P129" s="111"/>
      <c r="Q129" s="162"/>
      <c r="R129" s="114"/>
      <c r="S129" s="112"/>
      <c r="T129" s="114"/>
      <c r="U129" s="112"/>
      <c r="V129" s="112"/>
      <c r="W129" s="112"/>
      <c r="X129" s="112"/>
      <c r="Y129" s="112"/>
      <c r="Z129" s="112"/>
      <c r="AA129" s="112">
        <f t="shared" si="9"/>
        <v>67282.755210000003</v>
      </c>
      <c r="AB129" s="112">
        <f t="shared" si="10"/>
        <v>807.39306252000006</v>
      </c>
    </row>
    <row r="130" spans="1:30" s="155" customFormat="1" ht="18" customHeight="1">
      <c r="A130" s="84">
        <v>118</v>
      </c>
      <c r="B130" s="150" t="s">
        <v>316</v>
      </c>
      <c r="C130" s="150" t="s">
        <v>300</v>
      </c>
      <c r="D130" s="154" t="s">
        <v>349</v>
      </c>
      <c r="E130" s="84">
        <v>1</v>
      </c>
      <c r="F130" s="110"/>
      <c r="G130" s="110">
        <v>5</v>
      </c>
      <c r="H130" s="165"/>
      <c r="I130" s="166">
        <v>2.92</v>
      </c>
      <c r="J130" s="111">
        <v>17697</v>
      </c>
      <c r="K130" s="83">
        <v>1.23</v>
      </c>
      <c r="L130" s="111">
        <f t="shared" si="0"/>
        <v>63560.545199999993</v>
      </c>
      <c r="M130" s="111"/>
      <c r="N130" s="111">
        <f t="shared" si="7"/>
        <v>63560.545199999993</v>
      </c>
      <c r="O130" s="111">
        <f t="shared" si="8"/>
        <v>6356.0545199999997</v>
      </c>
      <c r="P130" s="111"/>
      <c r="Q130" s="162"/>
      <c r="R130" s="162">
        <f>E130*J130*35%</f>
        <v>6193.95</v>
      </c>
      <c r="S130" s="112"/>
      <c r="T130" s="162"/>
      <c r="U130" s="112"/>
      <c r="V130" s="112"/>
      <c r="W130" s="112"/>
      <c r="X130" s="112"/>
      <c r="Y130" s="112"/>
      <c r="Z130" s="112"/>
      <c r="AA130" s="112">
        <f t="shared" si="9"/>
        <v>76110.549719999995</v>
      </c>
      <c r="AB130" s="112">
        <f t="shared" si="10"/>
        <v>913.32659663999993</v>
      </c>
    </row>
    <row r="131" spans="1:30" s="155" customFormat="1" ht="25.5">
      <c r="A131" s="84">
        <v>119</v>
      </c>
      <c r="B131" s="151" t="s">
        <v>283</v>
      </c>
      <c r="C131" s="151" t="s">
        <v>141</v>
      </c>
      <c r="D131" s="154" t="s">
        <v>349</v>
      </c>
      <c r="E131" s="110">
        <v>0.5</v>
      </c>
      <c r="F131" s="110"/>
      <c r="G131" s="110">
        <v>2</v>
      </c>
      <c r="H131" s="165"/>
      <c r="I131" s="166">
        <v>2.81</v>
      </c>
      <c r="J131" s="111">
        <v>17697</v>
      </c>
      <c r="K131" s="83">
        <v>1.23</v>
      </c>
      <c r="L131" s="111">
        <f t="shared" si="0"/>
        <v>30583.07055</v>
      </c>
      <c r="M131" s="111"/>
      <c r="N131" s="111">
        <f t="shared" si="7"/>
        <v>30583.07055</v>
      </c>
      <c r="O131" s="111">
        <f t="shared" si="8"/>
        <v>3058.3070550000002</v>
      </c>
      <c r="P131" s="111"/>
      <c r="Q131" s="162">
        <f>J131*30%*E131</f>
        <v>2654.5499999999997</v>
      </c>
      <c r="R131" s="162"/>
      <c r="S131" s="112"/>
      <c r="T131" s="162"/>
      <c r="U131" s="112"/>
      <c r="V131" s="112"/>
      <c r="W131" s="112"/>
      <c r="X131" s="112"/>
      <c r="Y131" s="112"/>
      <c r="Z131" s="112"/>
      <c r="AA131" s="112">
        <f t="shared" si="9"/>
        <v>36295.927605000004</v>
      </c>
      <c r="AB131" s="112">
        <f t="shared" si="10"/>
        <v>435.55113126000003</v>
      </c>
    </row>
    <row r="132" spans="1:30" s="160" customFormat="1" ht="20.25" customHeight="1">
      <c r="A132" s="153"/>
      <c r="B132" s="152" t="s">
        <v>71</v>
      </c>
      <c r="C132" s="152"/>
      <c r="D132" s="146"/>
      <c r="E132" s="115">
        <f>SUM(E13:E131)</f>
        <v>116.5</v>
      </c>
      <c r="F132" s="146"/>
      <c r="G132" s="146"/>
      <c r="H132" s="116"/>
      <c r="I132" s="125"/>
      <c r="J132" s="62"/>
      <c r="K132" s="159"/>
      <c r="L132" s="62">
        <f t="shared" ref="L132:AB132" si="13">SUM(L13:L131)</f>
        <v>11466891.312630007</v>
      </c>
      <c r="M132" s="62">
        <f t="shared" si="13"/>
        <v>0</v>
      </c>
      <c r="N132" s="62">
        <f t="shared" si="13"/>
        <v>11466891.312630007</v>
      </c>
      <c r="O132" s="62">
        <f t="shared" si="13"/>
        <v>1146689.1312630002</v>
      </c>
      <c r="P132" s="62">
        <f t="shared" si="13"/>
        <v>0</v>
      </c>
      <c r="Q132" s="62">
        <f t="shared" si="13"/>
        <v>120339.6</v>
      </c>
      <c r="R132" s="62">
        <f t="shared" si="13"/>
        <v>6193.95</v>
      </c>
      <c r="S132" s="62">
        <f t="shared" si="13"/>
        <v>20568.082588148867</v>
      </c>
      <c r="T132" s="62">
        <f t="shared" si="13"/>
        <v>246213.00516858854</v>
      </c>
      <c r="U132" s="62">
        <f t="shared" si="13"/>
        <v>0</v>
      </c>
      <c r="V132" s="62">
        <f t="shared" si="13"/>
        <v>39765.159</v>
      </c>
      <c r="W132" s="62">
        <f t="shared" si="13"/>
        <v>371358.27224999998</v>
      </c>
      <c r="X132" s="62">
        <f t="shared" si="13"/>
        <v>457856.78399999999</v>
      </c>
      <c r="Y132" s="62">
        <f t="shared" si="13"/>
        <v>0</v>
      </c>
      <c r="Z132" s="62">
        <f t="shared" si="13"/>
        <v>650751.87187499995</v>
      </c>
      <c r="AA132" s="62">
        <f t="shared" si="13"/>
        <v>14526627.168774741</v>
      </c>
      <c r="AB132" s="62">
        <f t="shared" si="13"/>
        <v>174319.5260252968</v>
      </c>
      <c r="AD132" s="160">
        <v>174834</v>
      </c>
    </row>
    <row r="133" spans="1:30" ht="28.5" customHeight="1">
      <c r="A133" s="113"/>
    </row>
    <row r="134" spans="1:30" ht="28.5" customHeight="1">
      <c r="B134" s="126" t="s">
        <v>351</v>
      </c>
      <c r="C134" s="127">
        <v>6</v>
      </c>
      <c r="D134" s="128"/>
      <c r="E134" s="129"/>
      <c r="F134" s="129"/>
      <c r="G134" s="130"/>
    </row>
    <row r="135" spans="1:30" ht="28.5" customHeight="1">
      <c r="B135" s="131" t="s">
        <v>352</v>
      </c>
      <c r="C135" s="132"/>
      <c r="D135" s="132"/>
      <c r="E135" s="132" t="s">
        <v>354</v>
      </c>
      <c r="F135" s="133"/>
      <c r="G135" s="134" t="s">
        <v>353</v>
      </c>
    </row>
    <row r="139" spans="1:30" ht="28.5" customHeight="1">
      <c r="G139" s="117"/>
      <c r="H139" s="117"/>
    </row>
  </sheetData>
  <sheetProtection password="C7B7" sheet="1"/>
  <autoFilter ref="A12:AD132"/>
  <mergeCells count="19">
    <mergeCell ref="A9:AB9"/>
    <mergeCell ref="G11:G12"/>
    <mergeCell ref="I11:I12"/>
    <mergeCell ref="L11:L12"/>
    <mergeCell ref="F11:F12"/>
    <mergeCell ref="AB11:AB12"/>
    <mergeCell ref="D11:D12"/>
    <mergeCell ref="AA11:AA12"/>
    <mergeCell ref="K11:K12"/>
    <mergeCell ref="H11:H12"/>
    <mergeCell ref="J11:J12"/>
    <mergeCell ref="M11:M12"/>
    <mergeCell ref="N11:N12"/>
    <mergeCell ref="O11:U11"/>
    <mergeCell ref="V11:Z11"/>
    <mergeCell ref="A11:A12"/>
    <mergeCell ref="B11:B12"/>
    <mergeCell ref="C11:C12"/>
    <mergeCell ref="E11:E12"/>
  </mergeCells>
  <phoneticPr fontId="0" type="noConversion"/>
  <pageMargins left="0" right="0" top="0.39370078740157483" bottom="0.39370078740157483" header="0.51181102362204722" footer="0.51181102362204722"/>
  <pageSetup paperSize="9" scale="64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O103"/>
  <sheetViews>
    <sheetView topLeftCell="I1" zoomScale="91" zoomScaleNormal="84" zoomScaleSheetLayoutView="91" workbookViewId="0">
      <selection sqref="A1:AM26"/>
    </sheetView>
  </sheetViews>
  <sheetFormatPr defaultColWidth="9.140625" defaultRowHeight="14.25"/>
  <cols>
    <col min="1" max="1" width="7" style="15" customWidth="1"/>
    <col min="2" max="2" width="20.42578125" style="33" customWidth="1"/>
    <col min="3" max="3" width="12.85546875" style="33" customWidth="1"/>
    <col min="4" max="4" width="7.5703125" style="15" customWidth="1"/>
    <col min="5" max="5" width="7.7109375" style="15" customWidth="1"/>
    <col min="6" max="6" width="6.7109375" style="15" customWidth="1"/>
    <col min="7" max="7" width="6" style="15" customWidth="1"/>
    <col min="8" max="8" width="7.5703125" style="214" customWidth="1"/>
    <col min="9" max="9" width="6" style="144" customWidth="1"/>
    <col min="10" max="10" width="7.5703125" style="47" customWidth="1"/>
    <col min="11" max="11" width="6.85546875" style="29" customWidth="1"/>
    <col min="12" max="12" width="10.7109375" style="47" customWidth="1"/>
    <col min="13" max="13" width="8.42578125" style="15" customWidth="1"/>
    <col min="14" max="14" width="5.85546875" style="15" customWidth="1"/>
    <col min="15" max="15" width="11.7109375" style="47" customWidth="1"/>
    <col min="16" max="16" width="6.5703125" style="15" customWidth="1"/>
    <col min="17" max="17" width="11" style="47" customWidth="1"/>
    <col min="18" max="18" width="10" style="15" hidden="1" customWidth="1"/>
    <col min="19" max="19" width="10.5703125" style="47" customWidth="1"/>
    <col min="20" max="20" width="8.28515625" style="16" customWidth="1"/>
    <col min="21" max="21" width="6.140625" style="16" customWidth="1"/>
    <col min="22" max="22" width="6.140625" style="15" customWidth="1"/>
    <col min="23" max="23" width="9.85546875" style="47" customWidth="1"/>
    <col min="24" max="24" width="4.85546875" style="15" customWidth="1"/>
    <col min="25" max="25" width="8.42578125" style="40" customWidth="1"/>
    <col min="26" max="26" width="9.140625" style="47" customWidth="1"/>
    <col min="27" max="27" width="10.42578125" style="47" customWidth="1"/>
    <col min="28" max="28" width="9.140625" style="47" customWidth="1"/>
    <col min="29" max="29" width="11.7109375" style="15" customWidth="1"/>
    <col min="30" max="30" width="7" style="15" customWidth="1"/>
    <col min="31" max="31" width="10.28515625" style="15" customWidth="1"/>
    <col min="32" max="32" width="7.5703125" style="15" customWidth="1"/>
    <col min="33" max="33" width="9" style="15" customWidth="1"/>
    <col min="34" max="34" width="8.5703125" style="15" customWidth="1"/>
    <col min="35" max="35" width="10.5703125" style="15" customWidth="1"/>
    <col min="36" max="36" width="9.140625" style="15" customWidth="1"/>
    <col min="37" max="37" width="11.5703125" style="15" customWidth="1"/>
    <col min="38" max="38" width="11.5703125" style="47" customWidth="1"/>
    <col min="39" max="39" width="10.5703125" style="47" customWidth="1"/>
    <col min="40" max="16384" width="9.140625" style="15"/>
  </cols>
  <sheetData>
    <row r="1" spans="1:41" s="2" customFormat="1" ht="15">
      <c r="A1" s="89"/>
      <c r="C1" s="89"/>
      <c r="D1" s="89"/>
      <c r="E1" s="89"/>
      <c r="F1" s="91"/>
      <c r="G1" s="92"/>
      <c r="H1" s="203"/>
      <c r="I1" s="135"/>
      <c r="J1" s="193"/>
      <c r="K1" s="93"/>
      <c r="L1" s="92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2"/>
      <c r="Z1" s="89"/>
      <c r="AA1" s="89"/>
      <c r="AB1" s="89"/>
      <c r="AC1" s="89"/>
      <c r="AD1" s="4"/>
      <c r="AE1" s="90" t="s">
        <v>9</v>
      </c>
      <c r="AF1" s="4"/>
      <c r="AG1" s="56"/>
      <c r="AH1" s="56"/>
      <c r="AI1" s="57"/>
      <c r="AJ1" s="56"/>
      <c r="AK1" s="56"/>
      <c r="AL1" s="57"/>
      <c r="AM1" s="57"/>
      <c r="AN1" s="57"/>
      <c r="AO1" s="48"/>
    </row>
    <row r="2" spans="1:41" s="2" customFormat="1" ht="15">
      <c r="A2" s="89"/>
      <c r="C2" s="89"/>
      <c r="D2" s="89"/>
      <c r="E2" s="89"/>
      <c r="F2" s="91"/>
      <c r="G2" s="92"/>
      <c r="H2" s="203"/>
      <c r="I2" s="135"/>
      <c r="J2" s="193"/>
      <c r="K2" s="93"/>
      <c r="L2" s="92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  <c r="Z2" s="89"/>
      <c r="AA2" s="89"/>
      <c r="AB2" s="89"/>
      <c r="AC2" s="89"/>
      <c r="AD2" s="4"/>
      <c r="AE2" s="89" t="s">
        <v>38</v>
      </c>
      <c r="AF2" s="4"/>
      <c r="AG2" s="58"/>
      <c r="AH2" s="58"/>
      <c r="AI2" s="57"/>
      <c r="AJ2" s="58"/>
      <c r="AK2" s="58"/>
      <c r="AL2" s="57"/>
      <c r="AM2" s="57"/>
      <c r="AN2" s="57"/>
      <c r="AO2" s="20"/>
    </row>
    <row r="3" spans="1:41" s="2" customFormat="1" ht="15">
      <c r="A3" s="89"/>
      <c r="C3" s="89"/>
      <c r="D3" s="89"/>
      <c r="E3" s="89"/>
      <c r="F3" s="91"/>
      <c r="G3" s="92"/>
      <c r="H3" s="203"/>
      <c r="I3" s="135"/>
      <c r="J3" s="193"/>
      <c r="K3" s="93"/>
      <c r="L3" s="92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2"/>
      <c r="Z3" s="89"/>
      <c r="AA3" s="89"/>
      <c r="AB3" s="89"/>
      <c r="AC3" s="89"/>
      <c r="AE3" s="90" t="s">
        <v>341</v>
      </c>
      <c r="AG3" s="56"/>
      <c r="AH3" s="56"/>
      <c r="AI3" s="57"/>
      <c r="AJ3" s="56"/>
      <c r="AK3" s="56"/>
      <c r="AL3" s="57"/>
      <c r="AM3" s="57"/>
      <c r="AN3" s="57"/>
      <c r="AO3" s="20"/>
    </row>
    <row r="4" spans="1:41" s="2" customFormat="1" ht="24.75" customHeight="1">
      <c r="A4" s="89"/>
      <c r="C4" s="89"/>
      <c r="D4" s="89"/>
      <c r="E4" s="89"/>
      <c r="F4" s="91"/>
      <c r="G4" s="92"/>
      <c r="H4" s="203"/>
      <c r="I4" s="135"/>
      <c r="J4" s="193"/>
      <c r="K4" s="93"/>
      <c r="L4" s="92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2"/>
      <c r="Z4" s="89"/>
      <c r="AA4" s="89"/>
      <c r="AB4" s="89"/>
      <c r="AC4" s="89"/>
      <c r="AE4" s="90" t="s">
        <v>332</v>
      </c>
      <c r="AG4" s="56"/>
      <c r="AH4" s="56"/>
      <c r="AI4" s="57"/>
      <c r="AJ4" s="56"/>
      <c r="AK4" s="56"/>
      <c r="AL4" s="57"/>
      <c r="AM4" s="57"/>
      <c r="AN4" s="57"/>
      <c r="AO4" s="20"/>
    </row>
    <row r="5" spans="1:41" s="2" customFormat="1">
      <c r="A5" s="89"/>
      <c r="C5" s="89"/>
      <c r="D5" s="89"/>
      <c r="E5" s="89"/>
      <c r="F5" s="91"/>
      <c r="G5" s="92"/>
      <c r="H5" s="203"/>
      <c r="I5" s="135"/>
      <c r="J5" s="193"/>
      <c r="K5" s="93"/>
      <c r="L5" s="92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2"/>
      <c r="Z5" s="89"/>
      <c r="AA5" s="89"/>
      <c r="AB5" s="89"/>
      <c r="AC5" s="89"/>
      <c r="AE5" s="90" t="s">
        <v>342</v>
      </c>
      <c r="AG5" s="56"/>
      <c r="AH5" s="56"/>
      <c r="AI5" s="57"/>
      <c r="AJ5" s="56"/>
      <c r="AK5" s="56"/>
      <c r="AL5" s="57"/>
      <c r="AM5" s="57"/>
      <c r="AN5" s="57"/>
    </row>
    <row r="6" spans="1:41" s="2" customFormat="1" ht="14.25" customHeight="1">
      <c r="A6" s="89"/>
      <c r="B6" s="89"/>
      <c r="C6" s="531"/>
      <c r="D6" s="531"/>
      <c r="E6" s="531"/>
      <c r="F6" s="531"/>
      <c r="G6" s="89"/>
      <c r="H6" s="204"/>
      <c r="I6" s="89"/>
      <c r="J6" s="193"/>
      <c r="K6" s="93"/>
      <c r="L6" s="92"/>
      <c r="M6" s="89"/>
      <c r="N6" s="89"/>
      <c r="O6" s="89"/>
      <c r="P6" s="89"/>
      <c r="Q6" s="89"/>
      <c r="R6" s="89"/>
      <c r="S6" s="89"/>
      <c r="T6" s="89"/>
      <c r="U6" s="89"/>
      <c r="AE6" s="90" t="s">
        <v>343</v>
      </c>
      <c r="AG6" s="56"/>
      <c r="AH6" s="56"/>
      <c r="AI6" s="57"/>
      <c r="AJ6" s="56"/>
      <c r="AK6" s="56"/>
      <c r="AL6" s="57"/>
      <c r="AM6" s="57"/>
      <c r="AN6" s="57"/>
    </row>
    <row r="7" spans="1:41" s="2" customFormat="1" ht="14.25" customHeight="1">
      <c r="A7" s="89"/>
      <c r="B7" s="539"/>
      <c r="C7" s="540"/>
      <c r="D7" s="540"/>
      <c r="E7" s="541"/>
      <c r="F7" s="95" t="s">
        <v>15</v>
      </c>
      <c r="G7" s="95" t="s">
        <v>16</v>
      </c>
      <c r="H7" s="205" t="s">
        <v>17</v>
      </c>
      <c r="I7" s="95"/>
      <c r="J7" s="193"/>
      <c r="K7" s="93"/>
      <c r="L7" s="92"/>
      <c r="M7" s="89"/>
      <c r="N7" s="89"/>
      <c r="O7" s="89"/>
      <c r="P7" s="89"/>
      <c r="Q7" s="89"/>
      <c r="R7" s="89"/>
      <c r="S7" s="89"/>
      <c r="T7" s="89"/>
      <c r="U7" s="89"/>
      <c r="AG7" s="56"/>
      <c r="AH7" s="56"/>
      <c r="AI7" s="57"/>
      <c r="AJ7" s="56"/>
      <c r="AK7" s="56"/>
      <c r="AL7" s="57"/>
      <c r="AM7" s="57"/>
      <c r="AN7" s="57"/>
    </row>
    <row r="8" spans="1:41" s="2" customFormat="1" ht="14.25" customHeight="1">
      <c r="A8" s="89"/>
      <c r="B8" s="100" t="s">
        <v>18</v>
      </c>
      <c r="C8" s="101"/>
      <c r="D8" s="101"/>
      <c r="E8" s="94"/>
      <c r="F8" s="102">
        <v>276</v>
      </c>
      <c r="G8" s="102">
        <f>N89</f>
        <v>731</v>
      </c>
      <c r="H8" s="206">
        <f t="shared" ref="H8:H14" si="0">F8+G8</f>
        <v>1007</v>
      </c>
      <c r="I8" s="95"/>
      <c r="J8" s="194"/>
      <c r="K8" s="99"/>
      <c r="L8" s="98"/>
      <c r="M8" s="96"/>
      <c r="N8" s="96"/>
      <c r="O8" s="96"/>
      <c r="P8" s="96"/>
      <c r="Q8" s="96"/>
      <c r="R8" s="96"/>
      <c r="S8" s="96"/>
      <c r="T8" s="96"/>
      <c r="U8" s="96"/>
      <c r="AG8" s="59"/>
      <c r="AH8" s="59"/>
      <c r="AI8" s="59"/>
      <c r="AJ8" s="59"/>
      <c r="AK8" s="59"/>
      <c r="AL8" s="59"/>
      <c r="AM8" s="59"/>
      <c r="AN8" s="59"/>
    </row>
    <row r="9" spans="1:41" s="2" customFormat="1" ht="14.25" customHeight="1">
      <c r="A9" s="92"/>
      <c r="B9" s="103" t="s">
        <v>344</v>
      </c>
      <c r="C9" s="101"/>
      <c r="D9" s="105"/>
      <c r="E9" s="106"/>
      <c r="F9" s="95">
        <v>337</v>
      </c>
      <c r="G9" s="95">
        <v>125</v>
      </c>
      <c r="H9" s="206">
        <f t="shared" si="0"/>
        <v>462</v>
      </c>
      <c r="I9" s="95"/>
      <c r="J9" s="194"/>
      <c r="K9" s="97"/>
      <c r="L9" s="98"/>
      <c r="M9" s="96"/>
      <c r="N9" s="96"/>
      <c r="O9" s="96"/>
      <c r="P9" s="96"/>
      <c r="Q9" s="96"/>
      <c r="R9" s="96"/>
      <c r="S9" s="98"/>
      <c r="T9" s="98"/>
      <c r="U9" s="98"/>
      <c r="AG9" s="60"/>
      <c r="AH9" s="60"/>
      <c r="AI9" s="60"/>
      <c r="AJ9" s="60"/>
      <c r="AK9" s="60"/>
      <c r="AL9" s="61"/>
      <c r="AM9" s="48"/>
    </row>
    <row r="10" spans="1:41" s="2" customFormat="1" ht="14.25" customHeight="1">
      <c r="A10" s="92"/>
      <c r="B10" s="103" t="s">
        <v>345</v>
      </c>
      <c r="C10" s="101"/>
      <c r="D10" s="105"/>
      <c r="E10" s="106"/>
      <c r="F10" s="95">
        <v>15</v>
      </c>
      <c r="G10" s="95">
        <v>6</v>
      </c>
      <c r="H10" s="206">
        <f t="shared" si="0"/>
        <v>21</v>
      </c>
      <c r="I10" s="95"/>
      <c r="J10" s="195"/>
      <c r="K10" s="147"/>
      <c r="L10" s="147"/>
      <c r="M10" s="147"/>
      <c r="N10" s="147"/>
      <c r="O10" s="147"/>
      <c r="P10" s="147"/>
      <c r="Q10" s="147"/>
      <c r="R10" s="147"/>
      <c r="S10" s="147"/>
      <c r="T10" s="98"/>
      <c r="U10" s="98"/>
      <c r="AG10" s="44"/>
      <c r="AH10" s="44"/>
      <c r="AI10" s="44"/>
      <c r="AJ10" s="44"/>
      <c r="AK10" s="44"/>
      <c r="AL10" s="49"/>
      <c r="AM10" s="48"/>
    </row>
    <row r="11" spans="1:41" s="2" customFormat="1" ht="14.25" customHeight="1">
      <c r="A11" s="92"/>
      <c r="B11" s="103" t="s">
        <v>346</v>
      </c>
      <c r="C11" s="101"/>
      <c r="D11" s="105"/>
      <c r="E11" s="106"/>
      <c r="F11" s="95">
        <v>15</v>
      </c>
      <c r="G11" s="95">
        <v>6</v>
      </c>
      <c r="H11" s="206">
        <f t="shared" si="0"/>
        <v>21</v>
      </c>
      <c r="I11" s="95"/>
      <c r="J11" s="195"/>
      <c r="K11" s="147"/>
      <c r="L11" s="147"/>
      <c r="M11" s="147"/>
      <c r="N11" s="147"/>
      <c r="O11" s="147"/>
      <c r="P11" s="147"/>
      <c r="Q11" s="147"/>
      <c r="R11" s="147"/>
      <c r="S11" s="147"/>
      <c r="T11" s="98"/>
      <c r="U11" s="98"/>
      <c r="AG11" s="13"/>
      <c r="AH11" s="13"/>
      <c r="AI11" s="13"/>
      <c r="AJ11" s="13"/>
      <c r="AK11" s="13"/>
      <c r="AL11" s="49"/>
      <c r="AM11" s="48"/>
    </row>
    <row r="12" spans="1:41" s="2" customFormat="1" ht="14.25" customHeight="1">
      <c r="A12" s="92"/>
      <c r="B12" s="103" t="s">
        <v>19</v>
      </c>
      <c r="C12" s="101"/>
      <c r="D12" s="105"/>
      <c r="E12" s="106"/>
      <c r="F12" s="102">
        <v>276</v>
      </c>
      <c r="G12" s="102">
        <f>G8</f>
        <v>731</v>
      </c>
      <c r="H12" s="206">
        <f t="shared" si="0"/>
        <v>1007</v>
      </c>
      <c r="I12" s="102"/>
      <c r="J12" s="195"/>
      <c r="K12" s="147"/>
      <c r="L12" s="147"/>
      <c r="M12" s="147"/>
      <c r="N12" s="147"/>
      <c r="O12" s="147"/>
      <c r="P12" s="147"/>
      <c r="Q12" s="147"/>
      <c r="R12" s="147"/>
      <c r="S12" s="147"/>
      <c r="T12" s="92"/>
      <c r="U12" s="92"/>
      <c r="AG12" s="13"/>
      <c r="AH12" s="13"/>
      <c r="AI12" s="13"/>
      <c r="AJ12" s="13"/>
      <c r="AK12" s="13"/>
      <c r="AL12" s="49"/>
      <c r="AM12" s="48"/>
    </row>
    <row r="13" spans="1:41" s="2" customFormat="1" ht="19.5" customHeight="1">
      <c r="A13" s="92"/>
      <c r="B13" s="103" t="s">
        <v>20</v>
      </c>
      <c r="C13" s="101"/>
      <c r="D13" s="105"/>
      <c r="E13" s="106"/>
      <c r="F13" s="102">
        <v>276</v>
      </c>
      <c r="G13" s="102">
        <f>G8</f>
        <v>731</v>
      </c>
      <c r="H13" s="206">
        <f t="shared" si="0"/>
        <v>1007</v>
      </c>
      <c r="I13" s="102"/>
      <c r="J13" s="195"/>
      <c r="K13" s="147"/>
      <c r="L13" s="147"/>
      <c r="M13" s="147"/>
      <c r="N13" s="147"/>
      <c r="O13" s="147"/>
      <c r="P13" s="147"/>
      <c r="Q13" s="147"/>
      <c r="R13" s="147"/>
      <c r="S13" s="147"/>
      <c r="T13" s="92"/>
      <c r="U13" s="92"/>
      <c r="AG13" s="5"/>
      <c r="AH13" s="5"/>
      <c r="AI13" s="5"/>
      <c r="AJ13" s="5"/>
      <c r="AK13" s="5"/>
      <c r="AL13" s="49"/>
      <c r="AM13" s="48"/>
    </row>
    <row r="14" spans="1:41" s="2" customFormat="1" ht="17.25" customHeight="1">
      <c r="A14" s="92"/>
      <c r="B14" s="103" t="s">
        <v>21</v>
      </c>
      <c r="C14" s="101"/>
      <c r="D14" s="104"/>
      <c r="E14" s="94"/>
      <c r="F14" s="102">
        <v>276</v>
      </c>
      <c r="G14" s="102">
        <v>731</v>
      </c>
      <c r="H14" s="206">
        <f t="shared" si="0"/>
        <v>1007</v>
      </c>
      <c r="I14" s="102"/>
      <c r="J14" s="193"/>
      <c r="K14" s="91"/>
      <c r="L14" s="92"/>
      <c r="M14" s="89"/>
      <c r="N14" s="89"/>
      <c r="O14" s="89"/>
      <c r="P14" s="89"/>
      <c r="Q14" s="89"/>
      <c r="R14" s="89"/>
      <c r="S14" s="89"/>
      <c r="T14" s="89"/>
      <c r="U14" s="89"/>
      <c r="AD14" s="14"/>
      <c r="AE14" s="14"/>
      <c r="AF14" s="14"/>
      <c r="AG14" s="14"/>
      <c r="AH14" s="14"/>
      <c r="AI14" s="14"/>
      <c r="AJ14" s="14"/>
      <c r="AK14" s="14"/>
      <c r="AL14" s="49"/>
      <c r="AM14" s="48"/>
    </row>
    <row r="15" spans="1:41" s="2" customFormat="1" ht="17.25" customHeight="1">
      <c r="A15" s="92"/>
      <c r="B15" s="167"/>
      <c r="C15" s="215"/>
      <c r="D15" s="167"/>
      <c r="E15" s="168"/>
      <c r="F15" s="169"/>
      <c r="G15" s="169"/>
      <c r="H15" s="207"/>
      <c r="I15" s="169"/>
      <c r="J15" s="193"/>
      <c r="K15" s="91"/>
      <c r="L15" s="92"/>
      <c r="M15" s="89"/>
      <c r="N15" s="89"/>
      <c r="O15" s="89"/>
      <c r="P15" s="89"/>
      <c r="Q15" s="89"/>
      <c r="R15" s="89"/>
      <c r="S15" s="89"/>
      <c r="T15" s="89"/>
      <c r="U15" s="89"/>
      <c r="AD15" s="14"/>
      <c r="AE15" s="14"/>
      <c r="AF15" s="14"/>
      <c r="AG15" s="14"/>
      <c r="AH15" s="14"/>
      <c r="AI15" s="14"/>
      <c r="AJ15" s="14"/>
      <c r="AK15" s="14"/>
      <c r="AL15" s="49"/>
      <c r="AM15" s="48"/>
    </row>
    <row r="16" spans="1:41" s="2" customFormat="1" ht="32.25" customHeight="1">
      <c r="A16" s="530" t="s">
        <v>355</v>
      </c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1"/>
      <c r="Y16" s="531"/>
      <c r="Z16" s="531"/>
      <c r="AA16" s="531"/>
      <c r="AB16" s="531"/>
      <c r="AC16" s="531"/>
      <c r="AD16" s="531"/>
      <c r="AE16" s="531"/>
      <c r="AF16" s="531"/>
      <c r="AG16" s="531"/>
      <c r="AH16" s="531"/>
      <c r="AI16" s="531"/>
      <c r="AJ16" s="531"/>
      <c r="AK16" s="531"/>
      <c r="AL16" s="531"/>
      <c r="AM16" s="531"/>
    </row>
    <row r="17" spans="1:40" s="2" customFormat="1" ht="17.25" customHeight="1">
      <c r="A17" s="92"/>
      <c r="B17" s="167"/>
      <c r="C17" s="215"/>
      <c r="D17" s="167"/>
      <c r="E17" s="168"/>
      <c r="F17" s="169"/>
      <c r="G17" s="169"/>
      <c r="H17" s="207"/>
      <c r="I17" s="169"/>
      <c r="J17" s="193"/>
      <c r="K17" s="91"/>
      <c r="L17" s="92"/>
      <c r="M17" s="89"/>
      <c r="N17" s="89"/>
      <c r="O17" s="89"/>
      <c r="P17" s="89"/>
      <c r="Q17" s="89"/>
      <c r="R17" s="89"/>
      <c r="S17" s="89"/>
      <c r="T17" s="89"/>
      <c r="U17" s="89"/>
      <c r="AD17" s="14"/>
      <c r="AE17" s="14"/>
      <c r="AF17" s="14"/>
      <c r="AG17" s="14"/>
      <c r="AH17" s="14"/>
      <c r="AI17" s="14"/>
      <c r="AJ17" s="14"/>
      <c r="AK17" s="14"/>
      <c r="AL17" s="49"/>
      <c r="AM17" s="48"/>
    </row>
    <row r="18" spans="1:40" s="2" customFormat="1" ht="14.25" customHeight="1">
      <c r="A18" s="31"/>
      <c r="B18" s="23"/>
      <c r="C18" s="23"/>
      <c r="D18" s="31"/>
      <c r="E18" s="31"/>
      <c r="F18" s="31"/>
      <c r="G18" s="31"/>
      <c r="H18" s="198"/>
      <c r="I18" s="136"/>
      <c r="J18" s="196"/>
      <c r="K18" s="31"/>
      <c r="L18" s="52"/>
      <c r="M18" s="24"/>
      <c r="N18" s="24"/>
      <c r="O18" s="52"/>
      <c r="P18" s="24"/>
      <c r="Q18" s="53"/>
      <c r="R18" s="24"/>
      <c r="S18" s="52"/>
      <c r="T18" s="24"/>
      <c r="U18" s="24"/>
      <c r="V18" s="24"/>
      <c r="W18" s="52"/>
      <c r="X18" s="24"/>
      <c r="Y18" s="43"/>
      <c r="Z18" s="52"/>
      <c r="AA18" s="52"/>
      <c r="AB18" s="52"/>
      <c r="AC18" s="24"/>
      <c r="AD18" s="533"/>
      <c r="AE18" s="533"/>
      <c r="AF18" s="533"/>
      <c r="AG18" s="533"/>
      <c r="AH18" s="533"/>
      <c r="AI18" s="533"/>
      <c r="AJ18" s="533"/>
      <c r="AK18" s="533"/>
      <c r="AL18" s="533"/>
      <c r="AM18" s="48"/>
    </row>
    <row r="19" spans="1:40" s="22" customFormat="1" ht="25.5" customHeight="1">
      <c r="A19" s="522" t="s">
        <v>22</v>
      </c>
      <c r="B19" s="522" t="s">
        <v>23</v>
      </c>
      <c r="C19" s="522" t="s">
        <v>24</v>
      </c>
      <c r="D19" s="523" t="s">
        <v>25</v>
      </c>
      <c r="E19" s="535" t="s">
        <v>56</v>
      </c>
      <c r="F19" s="523" t="s">
        <v>35</v>
      </c>
      <c r="G19" s="523" t="s">
        <v>72</v>
      </c>
      <c r="H19" s="542" t="s">
        <v>26</v>
      </c>
      <c r="I19" s="543" t="s">
        <v>27</v>
      </c>
      <c r="J19" s="525" t="s">
        <v>53</v>
      </c>
      <c r="K19" s="535" t="s">
        <v>57</v>
      </c>
      <c r="L19" s="525" t="s">
        <v>58</v>
      </c>
      <c r="M19" s="524" t="s">
        <v>28</v>
      </c>
      <c r="N19" s="522" t="s">
        <v>29</v>
      </c>
      <c r="O19" s="522"/>
      <c r="P19" s="522"/>
      <c r="Q19" s="522"/>
      <c r="R19" s="535" t="s">
        <v>60</v>
      </c>
      <c r="S19" s="537" t="s">
        <v>42</v>
      </c>
      <c r="T19" s="526">
        <v>0.1</v>
      </c>
      <c r="U19" s="19"/>
      <c r="V19" s="522" t="s">
        <v>30</v>
      </c>
      <c r="W19" s="522"/>
      <c r="X19" s="522"/>
      <c r="Y19" s="522"/>
      <c r="Z19" s="522"/>
      <c r="AA19" s="521" t="s">
        <v>41</v>
      </c>
      <c r="AB19" s="534" t="s">
        <v>39</v>
      </c>
      <c r="AC19" s="532" t="s">
        <v>65</v>
      </c>
      <c r="AD19" s="523" t="s">
        <v>31</v>
      </c>
      <c r="AE19" s="532" t="s">
        <v>62</v>
      </c>
      <c r="AF19" s="532" t="s">
        <v>40</v>
      </c>
      <c r="AG19" s="527" t="s">
        <v>63</v>
      </c>
      <c r="AH19" s="528"/>
      <c r="AI19" s="528"/>
      <c r="AJ19" s="529"/>
      <c r="AK19" s="46"/>
      <c r="AL19" s="525" t="s">
        <v>66</v>
      </c>
      <c r="AM19" s="525" t="s">
        <v>67</v>
      </c>
    </row>
    <row r="20" spans="1:40" s="22" customFormat="1" ht="64.5" customHeight="1">
      <c r="A20" s="522"/>
      <c r="B20" s="522"/>
      <c r="C20" s="522"/>
      <c r="D20" s="523"/>
      <c r="E20" s="536"/>
      <c r="F20" s="523"/>
      <c r="G20" s="523"/>
      <c r="H20" s="542"/>
      <c r="I20" s="543"/>
      <c r="J20" s="525"/>
      <c r="K20" s="536"/>
      <c r="L20" s="525"/>
      <c r="M20" s="524"/>
      <c r="N20" s="17" t="s">
        <v>32</v>
      </c>
      <c r="O20" s="50" t="s">
        <v>33</v>
      </c>
      <c r="P20" s="18" t="s">
        <v>32</v>
      </c>
      <c r="Q20" s="50" t="s">
        <v>33</v>
      </c>
      <c r="R20" s="536"/>
      <c r="S20" s="538"/>
      <c r="T20" s="522"/>
      <c r="U20" s="17"/>
      <c r="V20" s="17" t="s">
        <v>34</v>
      </c>
      <c r="W20" s="54" t="s">
        <v>33</v>
      </c>
      <c r="X20" s="17" t="s">
        <v>32</v>
      </c>
      <c r="Y20" s="19" t="s">
        <v>61</v>
      </c>
      <c r="Z20" s="54" t="s">
        <v>33</v>
      </c>
      <c r="AA20" s="521"/>
      <c r="AB20" s="534"/>
      <c r="AC20" s="523"/>
      <c r="AD20" s="523"/>
      <c r="AE20" s="532"/>
      <c r="AF20" s="532"/>
      <c r="AG20" s="45" t="s">
        <v>45</v>
      </c>
      <c r="AH20" s="45" t="s">
        <v>46</v>
      </c>
      <c r="AI20" s="45" t="s">
        <v>64</v>
      </c>
      <c r="AJ20" s="45" t="s">
        <v>47</v>
      </c>
      <c r="AK20" s="45" t="s">
        <v>68</v>
      </c>
      <c r="AL20" s="525"/>
      <c r="AM20" s="525"/>
    </row>
    <row r="21" spans="1:40" s="2" customFormat="1" ht="30">
      <c r="A21" s="63">
        <v>1</v>
      </c>
      <c r="B21" s="65" t="s">
        <v>74</v>
      </c>
      <c r="C21" s="68" t="s">
        <v>142</v>
      </c>
      <c r="D21" s="25" t="s">
        <v>37</v>
      </c>
      <c r="E21" s="28">
        <v>0.5</v>
      </c>
      <c r="F21" s="63" t="s">
        <v>174</v>
      </c>
      <c r="G21" s="25" t="s">
        <v>37</v>
      </c>
      <c r="H21" s="201" t="s">
        <v>359</v>
      </c>
      <c r="I21" s="137">
        <v>5.24</v>
      </c>
      <c r="J21" s="51">
        <v>17697</v>
      </c>
      <c r="K21" s="26">
        <v>1.75</v>
      </c>
      <c r="L21" s="51">
        <f>K21*J21*I21</f>
        <v>162281.49000000002</v>
      </c>
      <c r="M21" s="27">
        <f>N21+P21</f>
        <v>8</v>
      </c>
      <c r="N21" s="63">
        <v>8</v>
      </c>
      <c r="O21" s="51">
        <f>L21/16*N21</f>
        <v>81140.74500000001</v>
      </c>
      <c r="P21" s="76"/>
      <c r="Q21" s="51"/>
      <c r="R21" s="27"/>
      <c r="S21" s="51">
        <f>R21+Q21+O21</f>
        <v>81140.74500000001</v>
      </c>
      <c r="T21" s="51">
        <f>S21*10%</f>
        <v>8114.0745000000015</v>
      </c>
      <c r="U21" s="51"/>
      <c r="V21" s="78">
        <v>0</v>
      </c>
      <c r="W21" s="51">
        <f>(J21/16*V21*20%)</f>
        <v>0</v>
      </c>
      <c r="X21" s="79"/>
      <c r="Y21" s="39"/>
      <c r="Z21" s="51"/>
      <c r="AA21" s="55"/>
      <c r="AB21" s="51"/>
      <c r="AC21" s="51">
        <f>S21*30%</f>
        <v>24342.223500000004</v>
      </c>
      <c r="AD21" s="28"/>
      <c r="AE21" s="51"/>
      <c r="AF21" s="51"/>
      <c r="AG21" s="197"/>
      <c r="AH21" s="51"/>
      <c r="AI21" s="51"/>
      <c r="AJ21" s="51"/>
      <c r="AK21" s="51"/>
      <c r="AL21" s="51">
        <f>AJ21+AI21+AH21+AG21+AF21+AE21+AC21+AB21+AA21+Z21+W21+T21+S21+AK21</f>
        <v>113597.04300000002</v>
      </c>
      <c r="AM21" s="51">
        <f>AL21*12/1000</f>
        <v>1363.1645160000003</v>
      </c>
      <c r="AN21" s="221">
        <f>SUM(M21-X21)</f>
        <v>8</v>
      </c>
    </row>
    <row r="22" spans="1:40" s="2" customFormat="1" ht="30">
      <c r="A22" s="63">
        <v>2</v>
      </c>
      <c r="B22" s="66" t="s">
        <v>75</v>
      </c>
      <c r="C22" s="68" t="s">
        <v>142</v>
      </c>
      <c r="D22" s="25" t="s">
        <v>37</v>
      </c>
      <c r="E22" s="28">
        <f>(N22/16)+(P22/16)</f>
        <v>0.5</v>
      </c>
      <c r="F22" s="63" t="s">
        <v>174</v>
      </c>
      <c r="G22" s="25" t="s">
        <v>37</v>
      </c>
      <c r="H22" s="201" t="s">
        <v>361</v>
      </c>
      <c r="I22" s="137">
        <v>5.24</v>
      </c>
      <c r="J22" s="51">
        <v>17697</v>
      </c>
      <c r="K22" s="26">
        <v>1.75</v>
      </c>
      <c r="L22" s="51">
        <f t="shared" ref="L22:L85" si="1">K22*J22*I22</f>
        <v>162281.49000000002</v>
      </c>
      <c r="M22" s="27">
        <f t="shared" ref="M22:M85" si="2">N22+P22</f>
        <v>8</v>
      </c>
      <c r="N22" s="63">
        <v>8</v>
      </c>
      <c r="O22" s="51">
        <f t="shared" ref="O22:O85" si="3">L22/16*N22</f>
        <v>81140.74500000001</v>
      </c>
      <c r="P22" s="76"/>
      <c r="Q22" s="51"/>
      <c r="R22" s="27"/>
      <c r="S22" s="51">
        <f t="shared" ref="S22:S85" si="4">R22+Q22+O22</f>
        <v>81140.74500000001</v>
      </c>
      <c r="T22" s="51">
        <f t="shared" ref="T22:T85" si="5">S22*10%</f>
        <v>8114.0745000000015</v>
      </c>
      <c r="U22" s="51"/>
      <c r="V22" s="79">
        <v>0</v>
      </c>
      <c r="W22" s="51">
        <f>(J22/16*V22*20%)</f>
        <v>0</v>
      </c>
      <c r="X22" s="79"/>
      <c r="Y22" s="39"/>
      <c r="Z22" s="51"/>
      <c r="AA22" s="55">
        <f>3063*10</f>
        <v>30630</v>
      </c>
      <c r="AB22" s="51"/>
      <c r="AC22" s="51">
        <f t="shared" ref="AC22:AC85" si="6">S22*30%</f>
        <v>24342.223500000004</v>
      </c>
      <c r="AD22" s="28"/>
      <c r="AE22" s="51"/>
      <c r="AF22" s="51"/>
      <c r="AG22" s="197"/>
      <c r="AH22" s="51"/>
      <c r="AI22" s="51"/>
      <c r="AJ22" s="51">
        <f>S22*0.5</f>
        <v>40570.372500000005</v>
      </c>
      <c r="AK22" s="51"/>
      <c r="AL22" s="51">
        <f t="shared" ref="AL22:AL85" si="7">AJ22+AI22+AH22+AG22+AF22+AE22+AC22+AB22+AA22+Z22+W22+T22+S22+AK22</f>
        <v>184797.4155</v>
      </c>
      <c r="AM22" s="51">
        <f t="shared" ref="AM22:AM85" si="8">AL22*12/1000</f>
        <v>2217.5689860000002</v>
      </c>
      <c r="AN22" s="221">
        <f t="shared" ref="AN22:AN85" si="9">SUM(M22-X22)</f>
        <v>8</v>
      </c>
    </row>
    <row r="23" spans="1:40" s="2" customFormat="1" ht="38.25">
      <c r="A23" s="63">
        <v>3</v>
      </c>
      <c r="B23" s="66" t="s">
        <v>76</v>
      </c>
      <c r="C23" s="68" t="s">
        <v>143</v>
      </c>
      <c r="D23" s="25" t="s">
        <v>37</v>
      </c>
      <c r="E23" s="28">
        <f t="shared" ref="E23:E86" si="10">(N23/16)+(P23/16)</f>
        <v>0.5</v>
      </c>
      <c r="F23" s="63" t="s">
        <v>175</v>
      </c>
      <c r="G23" s="25"/>
      <c r="H23" s="202" t="s">
        <v>363</v>
      </c>
      <c r="I23" s="137">
        <v>4.7300000000000004</v>
      </c>
      <c r="J23" s="51">
        <v>17697</v>
      </c>
      <c r="K23" s="26">
        <v>1.75</v>
      </c>
      <c r="L23" s="51">
        <f t="shared" si="1"/>
        <v>146486.91750000001</v>
      </c>
      <c r="M23" s="27">
        <f t="shared" si="2"/>
        <v>8</v>
      </c>
      <c r="N23" s="63">
        <v>8</v>
      </c>
      <c r="O23" s="51">
        <f t="shared" si="3"/>
        <v>73243.458750000005</v>
      </c>
      <c r="P23" s="76"/>
      <c r="Q23" s="51"/>
      <c r="R23" s="27"/>
      <c r="S23" s="51">
        <f t="shared" si="4"/>
        <v>73243.458750000005</v>
      </c>
      <c r="T23" s="51">
        <f t="shared" si="5"/>
        <v>7324.3458750000009</v>
      </c>
      <c r="U23" s="51"/>
      <c r="V23" s="79">
        <v>0</v>
      </c>
      <c r="W23" s="51">
        <f t="shared" ref="W23:W86" si="11">(J23/16*V23*20%)</f>
        <v>0</v>
      </c>
      <c r="X23" s="79"/>
      <c r="Y23" s="39"/>
      <c r="Z23" s="51"/>
      <c r="AA23" s="55"/>
      <c r="AB23" s="51"/>
      <c r="AC23" s="51">
        <f t="shared" si="6"/>
        <v>21973.037625000001</v>
      </c>
      <c r="AD23" s="28"/>
      <c r="AE23" s="51"/>
      <c r="AF23" s="51"/>
      <c r="AG23" s="197"/>
      <c r="AH23" s="51"/>
      <c r="AI23" s="51"/>
      <c r="AJ23" s="51"/>
      <c r="AK23" s="51"/>
      <c r="AL23" s="51">
        <f t="shared" si="7"/>
        <v>102540.84225000002</v>
      </c>
      <c r="AM23" s="51">
        <f t="shared" si="8"/>
        <v>1230.4901070000003</v>
      </c>
      <c r="AN23" s="221">
        <f t="shared" si="9"/>
        <v>8</v>
      </c>
    </row>
    <row r="24" spans="1:40" s="2" customFormat="1" ht="38.25">
      <c r="A24" s="63">
        <v>4</v>
      </c>
      <c r="B24" s="65" t="s">
        <v>77</v>
      </c>
      <c r="C24" s="68" t="s">
        <v>144</v>
      </c>
      <c r="D24" s="25" t="s">
        <v>37</v>
      </c>
      <c r="E24" s="28">
        <f t="shared" si="10"/>
        <v>0.5</v>
      </c>
      <c r="F24" s="63" t="s">
        <v>176</v>
      </c>
      <c r="G24" s="25" t="s">
        <v>37</v>
      </c>
      <c r="H24" s="201" t="s">
        <v>360</v>
      </c>
      <c r="I24" s="137">
        <v>5.41</v>
      </c>
      <c r="J24" s="51">
        <v>17697</v>
      </c>
      <c r="K24" s="26">
        <v>1.75</v>
      </c>
      <c r="L24" s="51">
        <f t="shared" si="1"/>
        <v>167546.3475</v>
      </c>
      <c r="M24" s="27">
        <f t="shared" si="2"/>
        <v>8</v>
      </c>
      <c r="N24" s="63">
        <v>8</v>
      </c>
      <c r="O24" s="51">
        <f t="shared" si="3"/>
        <v>83773.173750000002</v>
      </c>
      <c r="P24" s="76"/>
      <c r="Q24" s="51"/>
      <c r="R24" s="27"/>
      <c r="S24" s="51">
        <f t="shared" si="4"/>
        <v>83773.173750000002</v>
      </c>
      <c r="T24" s="51">
        <f t="shared" si="5"/>
        <v>8377.3173750000005</v>
      </c>
      <c r="U24" s="51"/>
      <c r="V24" s="79">
        <v>0</v>
      </c>
      <c r="W24" s="51">
        <f t="shared" si="11"/>
        <v>0</v>
      </c>
      <c r="X24" s="79">
        <v>6</v>
      </c>
      <c r="Y24" s="39">
        <v>0.5</v>
      </c>
      <c r="Z24" s="51">
        <f t="shared" ref="Z24:Z79" si="12">J24/16*X24*Y24</f>
        <v>3318.1875</v>
      </c>
      <c r="AA24" s="55"/>
      <c r="AB24" s="51"/>
      <c r="AC24" s="51">
        <f t="shared" si="6"/>
        <v>25131.952125</v>
      </c>
      <c r="AD24" s="28">
        <v>8</v>
      </c>
      <c r="AE24" s="51">
        <f t="shared" ref="AE24:AE84" si="13">J24/16*40%*AD24</f>
        <v>3539.4</v>
      </c>
      <c r="AF24" s="51"/>
      <c r="AG24" s="197"/>
      <c r="AH24" s="51"/>
      <c r="AI24" s="51">
        <f>S24*0.4</f>
        <v>33509.269500000002</v>
      </c>
      <c r="AJ24" s="51"/>
      <c r="AK24" s="51"/>
      <c r="AL24" s="51">
        <f t="shared" si="7"/>
        <v>157649.30025</v>
      </c>
      <c r="AM24" s="51">
        <f t="shared" si="8"/>
        <v>1891.7916030000001</v>
      </c>
      <c r="AN24" s="221">
        <f t="shared" si="9"/>
        <v>2</v>
      </c>
    </row>
    <row r="25" spans="1:40" s="2" customFormat="1" ht="38.25">
      <c r="A25" s="63">
        <v>5</v>
      </c>
      <c r="B25" s="65" t="s">
        <v>78</v>
      </c>
      <c r="C25" s="68" t="s">
        <v>145</v>
      </c>
      <c r="D25" s="25" t="s">
        <v>37</v>
      </c>
      <c r="E25" s="28">
        <f t="shared" si="10"/>
        <v>1.125</v>
      </c>
      <c r="F25" s="63" t="s">
        <v>176</v>
      </c>
      <c r="G25" s="25" t="s">
        <v>37</v>
      </c>
      <c r="H25" s="201" t="s">
        <v>414</v>
      </c>
      <c r="I25" s="137">
        <v>5.41</v>
      </c>
      <c r="J25" s="51">
        <v>17697</v>
      </c>
      <c r="K25" s="26">
        <v>1.75</v>
      </c>
      <c r="L25" s="51">
        <f t="shared" si="1"/>
        <v>167546.3475</v>
      </c>
      <c r="M25" s="27">
        <f t="shared" si="2"/>
        <v>18</v>
      </c>
      <c r="N25" s="63">
        <v>18</v>
      </c>
      <c r="O25" s="51">
        <f t="shared" si="3"/>
        <v>188489.64093749999</v>
      </c>
      <c r="P25" s="76"/>
      <c r="Q25" s="51"/>
      <c r="R25" s="27"/>
      <c r="S25" s="51">
        <f t="shared" si="4"/>
        <v>188489.64093749999</v>
      </c>
      <c r="T25" s="51">
        <f t="shared" si="5"/>
        <v>18848.964093750001</v>
      </c>
      <c r="U25" s="51"/>
      <c r="V25" s="79">
        <v>0</v>
      </c>
      <c r="W25" s="51">
        <f t="shared" si="11"/>
        <v>0</v>
      </c>
      <c r="X25" s="79">
        <v>16</v>
      </c>
      <c r="Y25" s="39">
        <v>0.5</v>
      </c>
      <c r="Z25" s="51">
        <f t="shared" si="12"/>
        <v>8848.5</v>
      </c>
      <c r="AA25" s="55"/>
      <c r="AB25" s="51"/>
      <c r="AC25" s="51">
        <f t="shared" si="6"/>
        <v>56546.892281249995</v>
      </c>
      <c r="AD25" s="28"/>
      <c r="AE25" s="51"/>
      <c r="AF25" s="51"/>
      <c r="AG25" s="197"/>
      <c r="AH25" s="51"/>
      <c r="AI25" s="51">
        <f>S25*0.4</f>
        <v>75395.856375000003</v>
      </c>
      <c r="AJ25" s="51"/>
      <c r="AK25" s="51"/>
      <c r="AL25" s="51">
        <f t="shared" si="7"/>
        <v>348129.8536875</v>
      </c>
      <c r="AM25" s="51">
        <f t="shared" si="8"/>
        <v>4177.5582442499999</v>
      </c>
      <c r="AN25" s="221">
        <f t="shared" si="9"/>
        <v>2</v>
      </c>
    </row>
    <row r="26" spans="1:40" s="2" customFormat="1" ht="38.25">
      <c r="A26" s="63">
        <v>6</v>
      </c>
      <c r="B26" s="66" t="s">
        <v>79</v>
      </c>
      <c r="C26" s="68" t="s">
        <v>146</v>
      </c>
      <c r="D26" s="25" t="s">
        <v>37</v>
      </c>
      <c r="E26" s="28">
        <f t="shared" si="10"/>
        <v>1</v>
      </c>
      <c r="F26" s="63" t="s">
        <v>174</v>
      </c>
      <c r="G26" s="25" t="s">
        <v>37</v>
      </c>
      <c r="H26" s="201" t="s">
        <v>415</v>
      </c>
      <c r="I26" s="137">
        <v>5.41</v>
      </c>
      <c r="J26" s="51">
        <v>17697</v>
      </c>
      <c r="K26" s="26">
        <v>1.75</v>
      </c>
      <c r="L26" s="51">
        <f t="shared" si="1"/>
        <v>167546.3475</v>
      </c>
      <c r="M26" s="27">
        <f t="shared" si="2"/>
        <v>16</v>
      </c>
      <c r="N26" s="63">
        <v>16</v>
      </c>
      <c r="O26" s="51">
        <f t="shared" si="3"/>
        <v>167546.3475</v>
      </c>
      <c r="P26" s="76"/>
      <c r="Q26" s="51"/>
      <c r="R26" s="27"/>
      <c r="S26" s="51">
        <f t="shared" si="4"/>
        <v>167546.3475</v>
      </c>
      <c r="T26" s="51">
        <f t="shared" si="5"/>
        <v>16754.634750000001</v>
      </c>
      <c r="U26" s="51"/>
      <c r="V26" s="79"/>
      <c r="W26" s="51">
        <f t="shared" si="11"/>
        <v>0</v>
      </c>
      <c r="X26" s="79">
        <v>11.5</v>
      </c>
      <c r="Y26" s="39">
        <v>0.5</v>
      </c>
      <c r="Z26" s="51">
        <f t="shared" si="12"/>
        <v>6359.859375</v>
      </c>
      <c r="AA26" s="55"/>
      <c r="AB26" s="51"/>
      <c r="AC26" s="51">
        <f t="shared" si="6"/>
        <v>50263.90425</v>
      </c>
      <c r="AD26" s="28"/>
      <c r="AE26" s="51"/>
      <c r="AF26" s="51"/>
      <c r="AG26" s="197"/>
      <c r="AH26" s="51"/>
      <c r="AI26" s="51">
        <f>S26*0.4</f>
        <v>67018.539000000004</v>
      </c>
      <c r="AJ26" s="51"/>
      <c r="AK26" s="51"/>
      <c r="AL26" s="51">
        <f t="shared" si="7"/>
        <v>307943.28487500001</v>
      </c>
      <c r="AM26" s="51">
        <f t="shared" si="8"/>
        <v>3695.3194185000002</v>
      </c>
      <c r="AN26" s="221">
        <f t="shared" si="9"/>
        <v>4.5</v>
      </c>
    </row>
    <row r="27" spans="1:40" s="2" customFormat="1" ht="38.25">
      <c r="A27" s="63">
        <v>7</v>
      </c>
      <c r="B27" s="66" t="s">
        <v>80</v>
      </c>
      <c r="C27" s="68" t="s">
        <v>146</v>
      </c>
      <c r="D27" s="25" t="s">
        <v>37</v>
      </c>
      <c r="E27" s="28">
        <f t="shared" si="10"/>
        <v>1</v>
      </c>
      <c r="F27" s="63" t="s">
        <v>177</v>
      </c>
      <c r="G27" s="25" t="s">
        <v>70</v>
      </c>
      <c r="H27" s="201" t="s">
        <v>416</v>
      </c>
      <c r="I27" s="137">
        <v>4.99</v>
      </c>
      <c r="J27" s="51">
        <v>17697</v>
      </c>
      <c r="K27" s="26">
        <v>1.75</v>
      </c>
      <c r="L27" s="51">
        <f t="shared" si="1"/>
        <v>154539.05250000002</v>
      </c>
      <c r="M27" s="27">
        <f t="shared" si="2"/>
        <v>16</v>
      </c>
      <c r="N27" s="63">
        <v>16</v>
      </c>
      <c r="O27" s="51">
        <f t="shared" si="3"/>
        <v>154539.05250000002</v>
      </c>
      <c r="P27" s="76"/>
      <c r="Q27" s="51"/>
      <c r="R27" s="27"/>
      <c r="S27" s="51">
        <f t="shared" si="4"/>
        <v>154539.05250000002</v>
      </c>
      <c r="T27" s="51">
        <f t="shared" si="5"/>
        <v>15453.905250000003</v>
      </c>
      <c r="U27" s="51"/>
      <c r="V27" s="79"/>
      <c r="W27" s="51">
        <f t="shared" si="11"/>
        <v>0</v>
      </c>
      <c r="X27" s="79">
        <v>16</v>
      </c>
      <c r="Y27" s="39">
        <v>0.5</v>
      </c>
      <c r="Z27" s="51">
        <f t="shared" si="12"/>
        <v>8848.5</v>
      </c>
      <c r="AA27" s="55"/>
      <c r="AB27" s="51"/>
      <c r="AC27" s="51">
        <f t="shared" si="6"/>
        <v>46361.715750000003</v>
      </c>
      <c r="AD27" s="28"/>
      <c r="AE27" s="51"/>
      <c r="AF27" s="51"/>
      <c r="AG27" s="197"/>
      <c r="AH27" s="51"/>
      <c r="AI27" s="51"/>
      <c r="AJ27" s="51"/>
      <c r="AK27" s="51"/>
      <c r="AL27" s="51">
        <f t="shared" si="7"/>
        <v>225203.17350000003</v>
      </c>
      <c r="AM27" s="51">
        <f t="shared" si="8"/>
        <v>2702.4380820000006</v>
      </c>
      <c r="AN27" s="221">
        <f t="shared" si="9"/>
        <v>0</v>
      </c>
    </row>
    <row r="28" spans="1:40" s="2" customFormat="1" ht="38.25">
      <c r="A28" s="63">
        <v>8</v>
      </c>
      <c r="B28" s="66" t="s">
        <v>81</v>
      </c>
      <c r="C28" s="68" t="s">
        <v>146</v>
      </c>
      <c r="D28" s="25" t="s">
        <v>37</v>
      </c>
      <c r="E28" s="28">
        <f t="shared" si="10"/>
        <v>0.5625</v>
      </c>
      <c r="F28" s="63" t="s">
        <v>175</v>
      </c>
      <c r="G28" s="25"/>
      <c r="H28" s="201" t="s">
        <v>380</v>
      </c>
      <c r="I28" s="137">
        <v>4.7300000000000004</v>
      </c>
      <c r="J28" s="51">
        <v>17697</v>
      </c>
      <c r="K28" s="26">
        <v>1.75</v>
      </c>
      <c r="L28" s="51">
        <f t="shared" si="1"/>
        <v>146486.91750000001</v>
      </c>
      <c r="M28" s="27">
        <f t="shared" si="2"/>
        <v>9</v>
      </c>
      <c r="N28" s="63">
        <v>9</v>
      </c>
      <c r="O28" s="51">
        <f t="shared" si="3"/>
        <v>82398.891093750004</v>
      </c>
      <c r="P28" s="76"/>
      <c r="Q28" s="51"/>
      <c r="R28" s="27"/>
      <c r="S28" s="51">
        <f t="shared" si="4"/>
        <v>82398.891093750004</v>
      </c>
      <c r="T28" s="51">
        <f t="shared" si="5"/>
        <v>8239.8891093750008</v>
      </c>
      <c r="U28" s="51"/>
      <c r="V28" s="79"/>
      <c r="W28" s="51">
        <f t="shared" si="11"/>
        <v>0</v>
      </c>
      <c r="X28" s="79">
        <v>9</v>
      </c>
      <c r="Y28" s="39">
        <v>0.5</v>
      </c>
      <c r="Z28" s="51">
        <f t="shared" si="12"/>
        <v>4977.28125</v>
      </c>
      <c r="AA28" s="55"/>
      <c r="AB28" s="51"/>
      <c r="AC28" s="51">
        <f t="shared" si="6"/>
        <v>24719.667328125</v>
      </c>
      <c r="AD28" s="28"/>
      <c r="AE28" s="51"/>
      <c r="AF28" s="51"/>
      <c r="AG28" s="197"/>
      <c r="AH28" s="51"/>
      <c r="AI28" s="51"/>
      <c r="AJ28" s="51"/>
      <c r="AK28" s="51"/>
      <c r="AL28" s="51">
        <f t="shared" si="7"/>
        <v>120335.72878125001</v>
      </c>
      <c r="AM28" s="51">
        <f t="shared" si="8"/>
        <v>1444.0287453750002</v>
      </c>
      <c r="AN28" s="221">
        <f t="shared" si="9"/>
        <v>0</v>
      </c>
    </row>
    <row r="29" spans="1:40" s="2" customFormat="1" ht="38.25">
      <c r="A29" s="63">
        <v>9</v>
      </c>
      <c r="B29" s="66" t="s">
        <v>82</v>
      </c>
      <c r="C29" s="68" t="s">
        <v>145</v>
      </c>
      <c r="D29" s="25" t="s">
        <v>37</v>
      </c>
      <c r="E29" s="28">
        <f t="shared" si="10"/>
        <v>1.125</v>
      </c>
      <c r="F29" s="63" t="s">
        <v>174</v>
      </c>
      <c r="G29" s="25" t="s">
        <v>37</v>
      </c>
      <c r="H29" s="201" t="s">
        <v>417</v>
      </c>
      <c r="I29" s="137">
        <v>5.41</v>
      </c>
      <c r="J29" s="51">
        <v>17697</v>
      </c>
      <c r="K29" s="26">
        <v>1.75</v>
      </c>
      <c r="L29" s="51">
        <f t="shared" si="1"/>
        <v>167546.3475</v>
      </c>
      <c r="M29" s="27">
        <f t="shared" si="2"/>
        <v>18</v>
      </c>
      <c r="N29" s="63">
        <v>6</v>
      </c>
      <c r="O29" s="51">
        <f t="shared" si="3"/>
        <v>62829.880312499998</v>
      </c>
      <c r="P29" s="76">
        <v>12</v>
      </c>
      <c r="Q29" s="51">
        <f t="shared" ref="Q29:Q70" si="14">L29/16*P29</f>
        <v>125659.760625</v>
      </c>
      <c r="R29" s="27"/>
      <c r="S29" s="51">
        <f t="shared" si="4"/>
        <v>188489.64093749999</v>
      </c>
      <c r="T29" s="51">
        <f t="shared" si="5"/>
        <v>18848.964093750001</v>
      </c>
      <c r="U29" s="51"/>
      <c r="V29" s="79"/>
      <c r="W29" s="51">
        <f t="shared" si="11"/>
        <v>0</v>
      </c>
      <c r="X29" s="79">
        <v>12</v>
      </c>
      <c r="Y29" s="39">
        <v>0.5</v>
      </c>
      <c r="Z29" s="51">
        <f t="shared" si="12"/>
        <v>6636.375</v>
      </c>
      <c r="AA29" s="55"/>
      <c r="AB29" s="51"/>
      <c r="AC29" s="51">
        <f t="shared" si="6"/>
        <v>56546.892281249995</v>
      </c>
      <c r="AD29" s="28"/>
      <c r="AE29" s="51"/>
      <c r="AF29" s="51"/>
      <c r="AG29" s="197"/>
      <c r="AH29" s="51"/>
      <c r="AI29" s="51">
        <f>S29*0.4</f>
        <v>75395.856375000003</v>
      </c>
      <c r="AJ29" s="51"/>
      <c r="AK29" s="51"/>
      <c r="AL29" s="51">
        <f t="shared" si="7"/>
        <v>345917.7286875</v>
      </c>
      <c r="AM29" s="51">
        <f t="shared" si="8"/>
        <v>4151.0127442499997</v>
      </c>
      <c r="AN29" s="221">
        <f t="shared" si="9"/>
        <v>6</v>
      </c>
    </row>
    <row r="30" spans="1:40" s="2" customFormat="1" ht="38.25">
      <c r="A30" s="63">
        <v>10</v>
      </c>
      <c r="B30" s="65" t="s">
        <v>83</v>
      </c>
      <c r="C30" s="68" t="s">
        <v>145</v>
      </c>
      <c r="D30" s="25" t="s">
        <v>37</v>
      </c>
      <c r="E30" s="28">
        <f t="shared" si="10"/>
        <v>1.125</v>
      </c>
      <c r="F30" s="63" t="s">
        <v>174</v>
      </c>
      <c r="G30" s="25" t="s">
        <v>37</v>
      </c>
      <c r="H30" s="201" t="s">
        <v>418</v>
      </c>
      <c r="I30" s="137">
        <v>5.41</v>
      </c>
      <c r="J30" s="51">
        <v>17697</v>
      </c>
      <c r="K30" s="26">
        <v>1.75</v>
      </c>
      <c r="L30" s="51">
        <f t="shared" si="1"/>
        <v>167546.3475</v>
      </c>
      <c r="M30" s="27">
        <f t="shared" si="2"/>
        <v>18</v>
      </c>
      <c r="N30" s="63">
        <v>18</v>
      </c>
      <c r="O30" s="51">
        <f t="shared" si="3"/>
        <v>188489.64093749999</v>
      </c>
      <c r="P30" s="76"/>
      <c r="Q30" s="51"/>
      <c r="R30" s="27"/>
      <c r="S30" s="51">
        <f t="shared" si="4"/>
        <v>188489.64093749999</v>
      </c>
      <c r="T30" s="51">
        <f t="shared" si="5"/>
        <v>18848.964093750001</v>
      </c>
      <c r="U30" s="51"/>
      <c r="V30" s="79"/>
      <c r="W30" s="51">
        <f t="shared" si="11"/>
        <v>0</v>
      </c>
      <c r="X30" s="79">
        <v>17</v>
      </c>
      <c r="Y30" s="39">
        <v>0.5</v>
      </c>
      <c r="Z30" s="51">
        <f t="shared" si="12"/>
        <v>9401.53125</v>
      </c>
      <c r="AA30" s="55"/>
      <c r="AB30" s="51"/>
      <c r="AC30" s="51">
        <f t="shared" si="6"/>
        <v>56546.892281249995</v>
      </c>
      <c r="AD30" s="28"/>
      <c r="AE30" s="51"/>
      <c r="AF30" s="51"/>
      <c r="AG30" s="197"/>
      <c r="AH30" s="51"/>
      <c r="AI30" s="51">
        <f>S30*0.4</f>
        <v>75395.856375000003</v>
      </c>
      <c r="AJ30" s="51"/>
      <c r="AK30" s="51"/>
      <c r="AL30" s="51">
        <f t="shared" si="7"/>
        <v>348682.8849375</v>
      </c>
      <c r="AM30" s="51">
        <f t="shared" si="8"/>
        <v>4184.19461925</v>
      </c>
      <c r="AN30" s="221">
        <f t="shared" si="9"/>
        <v>1</v>
      </c>
    </row>
    <row r="31" spans="1:40" s="2" customFormat="1" ht="38.25">
      <c r="A31" s="63">
        <v>11</v>
      </c>
      <c r="B31" s="65" t="s">
        <v>84</v>
      </c>
      <c r="C31" s="68" t="s">
        <v>147</v>
      </c>
      <c r="D31" s="25" t="s">
        <v>37</v>
      </c>
      <c r="E31" s="28">
        <f t="shared" si="10"/>
        <v>1.25</v>
      </c>
      <c r="F31" s="63" t="s">
        <v>174</v>
      </c>
      <c r="G31" s="25" t="s">
        <v>37</v>
      </c>
      <c r="H31" s="201" t="s">
        <v>415</v>
      </c>
      <c r="I31" s="137">
        <v>5.41</v>
      </c>
      <c r="J31" s="51">
        <v>17697</v>
      </c>
      <c r="K31" s="26">
        <v>1.75</v>
      </c>
      <c r="L31" s="51">
        <f t="shared" si="1"/>
        <v>167546.3475</v>
      </c>
      <c r="M31" s="27">
        <f t="shared" si="2"/>
        <v>20</v>
      </c>
      <c r="N31" s="63">
        <v>11</v>
      </c>
      <c r="O31" s="51">
        <f t="shared" si="3"/>
        <v>115188.11390625</v>
      </c>
      <c r="P31" s="76">
        <v>9</v>
      </c>
      <c r="Q31" s="51">
        <f t="shared" si="14"/>
        <v>94244.820468749997</v>
      </c>
      <c r="R31" s="27"/>
      <c r="S31" s="51">
        <f t="shared" si="4"/>
        <v>209432.93437500001</v>
      </c>
      <c r="T31" s="51">
        <f t="shared" si="5"/>
        <v>20943.293437500004</v>
      </c>
      <c r="U31" s="51"/>
      <c r="V31" s="79"/>
      <c r="W31" s="51">
        <f t="shared" si="11"/>
        <v>0</v>
      </c>
      <c r="X31" s="79">
        <v>18</v>
      </c>
      <c r="Y31" s="39">
        <v>0.5</v>
      </c>
      <c r="Z31" s="51">
        <f t="shared" si="12"/>
        <v>9954.5625</v>
      </c>
      <c r="AA31" s="55"/>
      <c r="AB31" s="51"/>
      <c r="AC31" s="51">
        <f t="shared" si="6"/>
        <v>62829.880312499998</v>
      </c>
      <c r="AD31" s="28">
        <v>10</v>
      </c>
      <c r="AE31" s="51">
        <f t="shared" si="13"/>
        <v>4424.25</v>
      </c>
      <c r="AF31" s="51"/>
      <c r="AG31" s="197"/>
      <c r="AH31" s="51"/>
      <c r="AI31" s="51">
        <f>S31*0.4</f>
        <v>83773.173750000016</v>
      </c>
      <c r="AJ31" s="51"/>
      <c r="AK31" s="51"/>
      <c r="AL31" s="51">
        <f t="shared" si="7"/>
        <v>391358.09437500004</v>
      </c>
      <c r="AM31" s="51">
        <f t="shared" si="8"/>
        <v>4696.2971324999999</v>
      </c>
      <c r="AN31" s="221">
        <f t="shared" si="9"/>
        <v>2</v>
      </c>
    </row>
    <row r="32" spans="1:40" s="2" customFormat="1" ht="38.25">
      <c r="A32" s="63">
        <v>12</v>
      </c>
      <c r="B32" s="67" t="s">
        <v>85</v>
      </c>
      <c r="C32" s="68" t="s">
        <v>148</v>
      </c>
      <c r="D32" s="25" t="s">
        <v>37</v>
      </c>
      <c r="E32" s="28">
        <f t="shared" si="10"/>
        <v>0.5</v>
      </c>
      <c r="F32" s="63" t="s">
        <v>175</v>
      </c>
      <c r="G32" s="25"/>
      <c r="H32" s="201" t="s">
        <v>377</v>
      </c>
      <c r="I32" s="137">
        <v>4.38</v>
      </c>
      <c r="J32" s="51">
        <v>17697</v>
      </c>
      <c r="K32" s="26">
        <v>1.75</v>
      </c>
      <c r="L32" s="51">
        <f t="shared" si="1"/>
        <v>135647.505</v>
      </c>
      <c r="M32" s="27">
        <f t="shared" si="2"/>
        <v>8</v>
      </c>
      <c r="N32" s="63">
        <v>8</v>
      </c>
      <c r="O32" s="51">
        <f t="shared" si="3"/>
        <v>67823.752500000002</v>
      </c>
      <c r="P32" s="76"/>
      <c r="Q32" s="51"/>
      <c r="R32" s="27"/>
      <c r="S32" s="51">
        <f t="shared" si="4"/>
        <v>67823.752500000002</v>
      </c>
      <c r="T32" s="51">
        <f t="shared" si="5"/>
        <v>6782.375250000001</v>
      </c>
      <c r="U32" s="51"/>
      <c r="V32" s="79"/>
      <c r="W32" s="51">
        <f t="shared" si="11"/>
        <v>0</v>
      </c>
      <c r="X32" s="79">
        <v>8</v>
      </c>
      <c r="Y32" s="39">
        <v>0.5</v>
      </c>
      <c r="Z32" s="51">
        <f t="shared" si="12"/>
        <v>4424.25</v>
      </c>
      <c r="AA32" s="55"/>
      <c r="AB32" s="51"/>
      <c r="AC32" s="51">
        <f t="shared" si="6"/>
        <v>20347.125749999999</v>
      </c>
      <c r="AD32" s="28">
        <v>8</v>
      </c>
      <c r="AE32" s="51">
        <f t="shared" si="13"/>
        <v>3539.4</v>
      </c>
      <c r="AF32" s="51"/>
      <c r="AG32" s="197"/>
      <c r="AH32" s="51"/>
      <c r="AI32" s="51"/>
      <c r="AJ32" s="51"/>
      <c r="AK32" s="51"/>
      <c r="AL32" s="51">
        <f t="shared" si="7"/>
        <v>102916.9035</v>
      </c>
      <c r="AM32" s="51">
        <f t="shared" si="8"/>
        <v>1235.0028419999999</v>
      </c>
      <c r="AN32" s="221">
        <f t="shared" si="9"/>
        <v>0</v>
      </c>
    </row>
    <row r="33" spans="1:40" s="2" customFormat="1" ht="38.25">
      <c r="A33" s="63">
        <v>13</v>
      </c>
      <c r="B33" s="65" t="s">
        <v>86</v>
      </c>
      <c r="C33" s="68" t="s">
        <v>149</v>
      </c>
      <c r="D33" s="25" t="s">
        <v>37</v>
      </c>
      <c r="E33" s="28">
        <f t="shared" si="10"/>
        <v>1</v>
      </c>
      <c r="F33" s="63" t="s">
        <v>174</v>
      </c>
      <c r="G33" s="25" t="s">
        <v>37</v>
      </c>
      <c r="H33" s="201" t="s">
        <v>419</v>
      </c>
      <c r="I33" s="137">
        <v>5.41</v>
      </c>
      <c r="J33" s="51">
        <v>17697</v>
      </c>
      <c r="K33" s="26">
        <v>1.75</v>
      </c>
      <c r="L33" s="51">
        <f t="shared" si="1"/>
        <v>167546.3475</v>
      </c>
      <c r="M33" s="27">
        <f t="shared" si="2"/>
        <v>16</v>
      </c>
      <c r="N33" s="63">
        <v>13</v>
      </c>
      <c r="O33" s="51">
        <f t="shared" si="3"/>
        <v>136131.40734375</v>
      </c>
      <c r="P33" s="76">
        <v>3</v>
      </c>
      <c r="Q33" s="51">
        <f t="shared" si="14"/>
        <v>31414.940156249999</v>
      </c>
      <c r="R33" s="27"/>
      <c r="S33" s="51">
        <f t="shared" si="4"/>
        <v>167546.3475</v>
      </c>
      <c r="T33" s="51">
        <f t="shared" si="5"/>
        <v>16754.634750000001</v>
      </c>
      <c r="U33" s="51"/>
      <c r="V33" s="79"/>
      <c r="W33" s="51">
        <f t="shared" si="11"/>
        <v>0</v>
      </c>
      <c r="X33" s="79"/>
      <c r="Y33" s="39"/>
      <c r="Z33" s="51">
        <f t="shared" si="12"/>
        <v>0</v>
      </c>
      <c r="AA33" s="55"/>
      <c r="AB33" s="51"/>
      <c r="AC33" s="51">
        <f t="shared" si="6"/>
        <v>50263.90425</v>
      </c>
      <c r="AD33" s="28"/>
      <c r="AE33" s="51"/>
      <c r="AF33" s="51"/>
      <c r="AG33" s="197"/>
      <c r="AH33" s="51"/>
      <c r="AI33" s="51"/>
      <c r="AJ33" s="51"/>
      <c r="AK33" s="51"/>
      <c r="AL33" s="51">
        <f t="shared" si="7"/>
        <v>234564.88650000002</v>
      </c>
      <c r="AM33" s="51">
        <f t="shared" si="8"/>
        <v>2814.7786380000002</v>
      </c>
      <c r="AN33" s="221">
        <f t="shared" si="9"/>
        <v>16</v>
      </c>
    </row>
    <row r="34" spans="1:40" s="2" customFormat="1" ht="38.25">
      <c r="A34" s="63">
        <v>14</v>
      </c>
      <c r="B34" s="65" t="s">
        <v>87</v>
      </c>
      <c r="C34" s="68" t="s">
        <v>145</v>
      </c>
      <c r="D34" s="25" t="s">
        <v>37</v>
      </c>
      <c r="E34" s="28">
        <f t="shared" si="10"/>
        <v>1.125</v>
      </c>
      <c r="F34" s="63" t="s">
        <v>176</v>
      </c>
      <c r="G34" s="25" t="s">
        <v>37</v>
      </c>
      <c r="H34" s="201" t="s">
        <v>420</v>
      </c>
      <c r="I34" s="137">
        <v>5.41</v>
      </c>
      <c r="J34" s="51">
        <v>17697</v>
      </c>
      <c r="K34" s="26">
        <v>1.75</v>
      </c>
      <c r="L34" s="51">
        <f t="shared" si="1"/>
        <v>167546.3475</v>
      </c>
      <c r="M34" s="27">
        <f t="shared" si="2"/>
        <v>18</v>
      </c>
      <c r="N34" s="63">
        <v>6</v>
      </c>
      <c r="O34" s="51">
        <f t="shared" si="3"/>
        <v>62829.880312499998</v>
      </c>
      <c r="P34" s="76">
        <v>12</v>
      </c>
      <c r="Q34" s="51">
        <f t="shared" si="14"/>
        <v>125659.760625</v>
      </c>
      <c r="R34" s="27"/>
      <c r="S34" s="51">
        <f t="shared" si="4"/>
        <v>188489.64093749999</v>
      </c>
      <c r="T34" s="51">
        <f t="shared" si="5"/>
        <v>18848.964093750001</v>
      </c>
      <c r="U34" s="51"/>
      <c r="V34" s="79"/>
      <c r="W34" s="51">
        <f t="shared" si="11"/>
        <v>0</v>
      </c>
      <c r="X34" s="79">
        <v>18</v>
      </c>
      <c r="Y34" s="39">
        <v>0.5</v>
      </c>
      <c r="Z34" s="51">
        <f t="shared" si="12"/>
        <v>9954.5625</v>
      </c>
      <c r="AA34" s="55"/>
      <c r="AB34" s="51"/>
      <c r="AC34" s="51">
        <f t="shared" si="6"/>
        <v>56546.892281249995</v>
      </c>
      <c r="AD34" s="28"/>
      <c r="AE34" s="51"/>
      <c r="AF34" s="51"/>
      <c r="AG34" s="197"/>
      <c r="AH34" s="51"/>
      <c r="AI34" s="51">
        <f>S34*0.4</f>
        <v>75395.856375000003</v>
      </c>
      <c r="AJ34" s="51"/>
      <c r="AK34" s="51"/>
      <c r="AL34" s="51">
        <f t="shared" si="7"/>
        <v>349235.9161875</v>
      </c>
      <c r="AM34" s="51">
        <f t="shared" si="8"/>
        <v>4190.83099425</v>
      </c>
      <c r="AN34" s="221">
        <f t="shared" si="9"/>
        <v>0</v>
      </c>
    </row>
    <row r="35" spans="1:40" s="2" customFormat="1" ht="30">
      <c r="A35" s="63">
        <v>15</v>
      </c>
      <c r="B35" s="66" t="s">
        <v>88</v>
      </c>
      <c r="C35" s="68" t="s">
        <v>150</v>
      </c>
      <c r="D35" s="25" t="s">
        <v>37</v>
      </c>
      <c r="E35" s="28">
        <f t="shared" si="10"/>
        <v>1.3125</v>
      </c>
      <c r="F35" s="63" t="s">
        <v>174</v>
      </c>
      <c r="G35" s="25" t="s">
        <v>37</v>
      </c>
      <c r="H35" s="201" t="s">
        <v>421</v>
      </c>
      <c r="I35" s="137">
        <v>5.41</v>
      </c>
      <c r="J35" s="51">
        <v>17697</v>
      </c>
      <c r="K35" s="26">
        <v>1.75</v>
      </c>
      <c r="L35" s="51">
        <f t="shared" si="1"/>
        <v>167546.3475</v>
      </c>
      <c r="M35" s="27">
        <f t="shared" si="2"/>
        <v>21</v>
      </c>
      <c r="N35" s="63">
        <v>9</v>
      </c>
      <c r="O35" s="51">
        <f t="shared" si="3"/>
        <v>94244.820468749997</v>
      </c>
      <c r="P35" s="76">
        <v>12</v>
      </c>
      <c r="Q35" s="51">
        <f t="shared" si="14"/>
        <v>125659.760625</v>
      </c>
      <c r="R35" s="27"/>
      <c r="S35" s="51">
        <f t="shared" si="4"/>
        <v>219904.58109374999</v>
      </c>
      <c r="T35" s="51">
        <f t="shared" si="5"/>
        <v>21990.458109375002</v>
      </c>
      <c r="U35" s="51"/>
      <c r="V35" s="79"/>
      <c r="W35" s="51">
        <f t="shared" si="11"/>
        <v>0</v>
      </c>
      <c r="X35" s="79"/>
      <c r="Y35" s="39"/>
      <c r="Z35" s="51"/>
      <c r="AA35" s="55"/>
      <c r="AB35" s="51"/>
      <c r="AC35" s="51">
        <f t="shared" si="6"/>
        <v>65971.374328124992</v>
      </c>
      <c r="AD35" s="28"/>
      <c r="AE35" s="51"/>
      <c r="AF35" s="51"/>
      <c r="AG35" s="197"/>
      <c r="AH35" s="51"/>
      <c r="AI35" s="51">
        <f>S35*0.4</f>
        <v>87961.832437500008</v>
      </c>
      <c r="AJ35" s="51"/>
      <c r="AK35" s="51"/>
      <c r="AL35" s="51">
        <f t="shared" si="7"/>
        <v>395828.24596874998</v>
      </c>
      <c r="AM35" s="51">
        <f t="shared" si="8"/>
        <v>4749.9389516249994</v>
      </c>
      <c r="AN35" s="221">
        <f t="shared" si="9"/>
        <v>21</v>
      </c>
    </row>
    <row r="36" spans="1:40" s="2" customFormat="1" ht="38.25">
      <c r="A36" s="63">
        <v>16</v>
      </c>
      <c r="B36" s="67" t="s">
        <v>89</v>
      </c>
      <c r="C36" s="68" t="s">
        <v>148</v>
      </c>
      <c r="D36" s="25" t="s">
        <v>37</v>
      </c>
      <c r="E36" s="28">
        <f t="shared" si="10"/>
        <v>1.125</v>
      </c>
      <c r="F36" s="63" t="s">
        <v>178</v>
      </c>
      <c r="G36" s="25" t="s">
        <v>69</v>
      </c>
      <c r="H36" s="201" t="s">
        <v>422</v>
      </c>
      <c r="I36" s="138">
        <v>4.6500000000000004</v>
      </c>
      <c r="J36" s="51">
        <v>17697</v>
      </c>
      <c r="K36" s="26">
        <v>1.75</v>
      </c>
      <c r="L36" s="51">
        <f t="shared" si="1"/>
        <v>144009.33750000002</v>
      </c>
      <c r="M36" s="27">
        <f t="shared" si="2"/>
        <v>18</v>
      </c>
      <c r="N36" s="63">
        <v>18</v>
      </c>
      <c r="O36" s="51">
        <f t="shared" si="3"/>
        <v>162010.50468750001</v>
      </c>
      <c r="P36" s="76"/>
      <c r="Q36" s="51"/>
      <c r="R36" s="27"/>
      <c r="S36" s="51">
        <f t="shared" si="4"/>
        <v>162010.50468750001</v>
      </c>
      <c r="T36" s="51">
        <f t="shared" si="5"/>
        <v>16201.050468750002</v>
      </c>
      <c r="U36" s="51"/>
      <c r="V36" s="79"/>
      <c r="W36" s="51">
        <f t="shared" si="11"/>
        <v>0</v>
      </c>
      <c r="X36" s="79">
        <v>13</v>
      </c>
      <c r="Y36" s="39">
        <v>0.5</v>
      </c>
      <c r="Z36" s="51">
        <f t="shared" si="12"/>
        <v>7189.40625</v>
      </c>
      <c r="AA36" s="55"/>
      <c r="AB36" s="51"/>
      <c r="AC36" s="51">
        <f t="shared" si="6"/>
        <v>48603.151406249999</v>
      </c>
      <c r="AD36" s="28">
        <v>18</v>
      </c>
      <c r="AE36" s="51">
        <f t="shared" si="13"/>
        <v>7963.6500000000005</v>
      </c>
      <c r="AF36" s="51"/>
      <c r="AG36" s="197"/>
      <c r="AH36" s="197">
        <f>S36*35%</f>
        <v>56703.676640625003</v>
      </c>
      <c r="AI36" s="51"/>
      <c r="AJ36" s="51"/>
      <c r="AK36" s="51"/>
      <c r="AL36" s="51">
        <f t="shared" si="7"/>
        <v>298671.439453125</v>
      </c>
      <c r="AM36" s="51">
        <f t="shared" si="8"/>
        <v>3584.0572734375</v>
      </c>
      <c r="AN36" s="221">
        <f t="shared" si="9"/>
        <v>5</v>
      </c>
    </row>
    <row r="37" spans="1:40" s="2" customFormat="1" ht="38.25">
      <c r="A37" s="63">
        <v>17</v>
      </c>
      <c r="B37" s="66" t="s">
        <v>90</v>
      </c>
      <c r="C37" s="68" t="s">
        <v>145</v>
      </c>
      <c r="D37" s="25" t="s">
        <v>37</v>
      </c>
      <c r="E37" s="28">
        <f t="shared" si="10"/>
        <v>1.125</v>
      </c>
      <c r="F37" s="63" t="s">
        <v>174</v>
      </c>
      <c r="G37" s="25" t="s">
        <v>37</v>
      </c>
      <c r="H37" s="201" t="s">
        <v>423</v>
      </c>
      <c r="I37" s="137">
        <v>5.41</v>
      </c>
      <c r="J37" s="51">
        <v>17697</v>
      </c>
      <c r="K37" s="26">
        <v>1.75</v>
      </c>
      <c r="L37" s="51">
        <f t="shared" si="1"/>
        <v>167546.3475</v>
      </c>
      <c r="M37" s="27">
        <f t="shared" si="2"/>
        <v>18</v>
      </c>
      <c r="N37" s="63">
        <v>18</v>
      </c>
      <c r="O37" s="51">
        <f t="shared" si="3"/>
        <v>188489.64093749999</v>
      </c>
      <c r="P37" s="76"/>
      <c r="Q37" s="51"/>
      <c r="R37" s="27"/>
      <c r="S37" s="51">
        <f t="shared" si="4"/>
        <v>188489.64093749999</v>
      </c>
      <c r="T37" s="51">
        <f t="shared" si="5"/>
        <v>18848.964093750001</v>
      </c>
      <c r="U37" s="51"/>
      <c r="V37" s="79"/>
      <c r="W37" s="80">
        <f t="shared" si="11"/>
        <v>0</v>
      </c>
      <c r="X37" s="79">
        <v>12</v>
      </c>
      <c r="Y37" s="39">
        <v>0.5</v>
      </c>
      <c r="Z37" s="51">
        <f t="shared" si="12"/>
        <v>6636.375</v>
      </c>
      <c r="AA37" s="55"/>
      <c r="AB37" s="51"/>
      <c r="AC37" s="51">
        <f t="shared" si="6"/>
        <v>56546.892281249995</v>
      </c>
      <c r="AD37" s="28"/>
      <c r="AE37" s="51">
        <f t="shared" si="13"/>
        <v>0</v>
      </c>
      <c r="AF37" s="51"/>
      <c r="AG37" s="197"/>
      <c r="AH37" s="51"/>
      <c r="AI37" s="51">
        <f>S37*0.4</f>
        <v>75395.856375000003</v>
      </c>
      <c r="AJ37" s="51"/>
      <c r="AK37" s="51"/>
      <c r="AL37" s="51">
        <f t="shared" si="7"/>
        <v>345917.7286875</v>
      </c>
      <c r="AM37" s="51">
        <f t="shared" si="8"/>
        <v>4151.0127442499997</v>
      </c>
      <c r="AN37" s="221">
        <f t="shared" si="9"/>
        <v>6</v>
      </c>
    </row>
    <row r="38" spans="1:40" s="2" customFormat="1" ht="63.75">
      <c r="A38" s="63">
        <v>18</v>
      </c>
      <c r="B38" s="68" t="s">
        <v>91</v>
      </c>
      <c r="C38" s="68" t="s">
        <v>151</v>
      </c>
      <c r="D38" s="25" t="s">
        <v>37</v>
      </c>
      <c r="E38" s="28">
        <f t="shared" si="10"/>
        <v>1.25</v>
      </c>
      <c r="F38" s="63" t="s">
        <v>175</v>
      </c>
      <c r="G38" s="25"/>
      <c r="H38" s="201" t="s">
        <v>424</v>
      </c>
      <c r="I38" s="137">
        <v>4.0999999999999996</v>
      </c>
      <c r="J38" s="51">
        <v>17697</v>
      </c>
      <c r="K38" s="26">
        <v>1.75</v>
      </c>
      <c r="L38" s="51">
        <f t="shared" si="1"/>
        <v>126975.97499999999</v>
      </c>
      <c r="M38" s="27">
        <f t="shared" si="2"/>
        <v>20</v>
      </c>
      <c r="N38" s="63">
        <v>20</v>
      </c>
      <c r="O38" s="51">
        <f t="shared" si="3"/>
        <v>158719.96875</v>
      </c>
      <c r="P38" s="76"/>
      <c r="Q38" s="51"/>
      <c r="R38" s="27"/>
      <c r="S38" s="51">
        <f t="shared" si="4"/>
        <v>158719.96875</v>
      </c>
      <c r="T38" s="51">
        <f t="shared" si="5"/>
        <v>15871.996875000001</v>
      </c>
      <c r="U38" s="51"/>
      <c r="V38" s="79"/>
      <c r="W38" s="51">
        <f t="shared" si="11"/>
        <v>0</v>
      </c>
      <c r="X38" s="79"/>
      <c r="Y38" s="39"/>
      <c r="Z38" s="51"/>
      <c r="AA38" s="55"/>
      <c r="AB38" s="51">
        <f>SUM(J38*2)</f>
        <v>35394</v>
      </c>
      <c r="AC38" s="51">
        <f t="shared" si="6"/>
        <v>47615.990624999999</v>
      </c>
      <c r="AD38" s="28">
        <v>20</v>
      </c>
      <c r="AE38" s="51">
        <f t="shared" si="13"/>
        <v>8848.5</v>
      </c>
      <c r="AF38" s="51"/>
      <c r="AG38" s="197"/>
      <c r="AH38" s="51"/>
      <c r="AI38" s="51"/>
      <c r="AJ38" s="51"/>
      <c r="AK38" s="51"/>
      <c r="AL38" s="51">
        <f t="shared" si="7"/>
        <v>266450.45624999999</v>
      </c>
      <c r="AM38" s="51">
        <f t="shared" si="8"/>
        <v>3197.4054749999996</v>
      </c>
      <c r="AN38" s="221">
        <f t="shared" si="9"/>
        <v>20</v>
      </c>
    </row>
    <row r="39" spans="1:40" s="2" customFormat="1" ht="38.25">
      <c r="A39" s="63">
        <v>19</v>
      </c>
      <c r="B39" s="66" t="s">
        <v>92</v>
      </c>
      <c r="C39" s="68" t="s">
        <v>152</v>
      </c>
      <c r="D39" s="25" t="s">
        <v>37</v>
      </c>
      <c r="E39" s="28">
        <f t="shared" si="10"/>
        <v>0.375</v>
      </c>
      <c r="F39" s="63" t="s">
        <v>176</v>
      </c>
      <c r="G39" s="25" t="s">
        <v>37</v>
      </c>
      <c r="H39" s="202" t="s">
        <v>425</v>
      </c>
      <c r="I39" s="137">
        <v>5.16</v>
      </c>
      <c r="J39" s="51">
        <v>17697</v>
      </c>
      <c r="K39" s="26">
        <v>1.75</v>
      </c>
      <c r="L39" s="51">
        <f t="shared" si="1"/>
        <v>159803.91</v>
      </c>
      <c r="M39" s="27">
        <f t="shared" si="2"/>
        <v>6</v>
      </c>
      <c r="N39" s="63">
        <v>3</v>
      </c>
      <c r="O39" s="51">
        <f t="shared" si="3"/>
        <v>29963.233124999999</v>
      </c>
      <c r="P39" s="76">
        <v>3</v>
      </c>
      <c r="Q39" s="51">
        <f t="shared" si="14"/>
        <v>29963.233124999999</v>
      </c>
      <c r="R39" s="27"/>
      <c r="S39" s="51">
        <f t="shared" si="4"/>
        <v>59926.466249999998</v>
      </c>
      <c r="T39" s="51">
        <f t="shared" si="5"/>
        <v>5992.6466250000003</v>
      </c>
      <c r="U39" s="51"/>
      <c r="V39" s="79"/>
      <c r="W39" s="51">
        <f t="shared" si="11"/>
        <v>0</v>
      </c>
      <c r="X39" s="79"/>
      <c r="Y39" s="39"/>
      <c r="Z39" s="51"/>
      <c r="AA39" s="55"/>
      <c r="AB39" s="51"/>
      <c r="AC39" s="51">
        <f t="shared" si="6"/>
        <v>17977.939875</v>
      </c>
      <c r="AD39" s="28"/>
      <c r="AE39" s="51"/>
      <c r="AF39" s="51"/>
      <c r="AG39" s="197"/>
      <c r="AH39" s="51"/>
      <c r="AI39" s="51">
        <f t="shared" ref="AI39:AI44" si="15">S39*0.4</f>
        <v>23970.586500000001</v>
      </c>
      <c r="AJ39" s="51"/>
      <c r="AK39" s="51"/>
      <c r="AL39" s="51">
        <f t="shared" si="7"/>
        <v>107867.63925000001</v>
      </c>
      <c r="AM39" s="51">
        <f t="shared" si="8"/>
        <v>1294.4116710000001</v>
      </c>
      <c r="AN39" s="221">
        <f t="shared" si="9"/>
        <v>6</v>
      </c>
    </row>
    <row r="40" spans="1:40" s="2" customFormat="1" ht="38.25">
      <c r="A40" s="63">
        <v>20</v>
      </c>
      <c r="B40" s="65" t="s">
        <v>93</v>
      </c>
      <c r="C40" s="68" t="s">
        <v>146</v>
      </c>
      <c r="D40" s="25" t="s">
        <v>37</v>
      </c>
      <c r="E40" s="28">
        <f t="shared" si="10"/>
        <v>0.5625</v>
      </c>
      <c r="F40" s="63" t="s">
        <v>176</v>
      </c>
      <c r="G40" s="25" t="s">
        <v>37</v>
      </c>
      <c r="H40" s="201" t="s">
        <v>364</v>
      </c>
      <c r="I40" s="137">
        <v>5.24</v>
      </c>
      <c r="J40" s="51">
        <v>17697</v>
      </c>
      <c r="K40" s="26">
        <v>1.75</v>
      </c>
      <c r="L40" s="51">
        <f t="shared" si="1"/>
        <v>162281.49000000002</v>
      </c>
      <c r="M40" s="27">
        <f t="shared" si="2"/>
        <v>9</v>
      </c>
      <c r="N40" s="63">
        <v>9</v>
      </c>
      <c r="O40" s="51">
        <f t="shared" si="3"/>
        <v>91283.338125000009</v>
      </c>
      <c r="P40" s="76"/>
      <c r="Q40" s="51"/>
      <c r="R40" s="27"/>
      <c r="S40" s="51">
        <f t="shared" si="4"/>
        <v>91283.338125000009</v>
      </c>
      <c r="T40" s="51">
        <f t="shared" si="5"/>
        <v>9128.3338125000009</v>
      </c>
      <c r="U40" s="51"/>
      <c r="V40" s="79"/>
      <c r="W40" s="51">
        <f t="shared" si="11"/>
        <v>0</v>
      </c>
      <c r="X40" s="79">
        <v>9</v>
      </c>
      <c r="Y40" s="39">
        <v>0.5</v>
      </c>
      <c r="Z40" s="51">
        <f t="shared" si="12"/>
        <v>4977.28125</v>
      </c>
      <c r="AA40" s="55"/>
      <c r="AB40" s="51"/>
      <c r="AC40" s="51">
        <f t="shared" si="6"/>
        <v>27385.001437500003</v>
      </c>
      <c r="AD40" s="28"/>
      <c r="AE40" s="51"/>
      <c r="AF40" s="51"/>
      <c r="AG40" s="197"/>
      <c r="AH40" s="51"/>
      <c r="AI40" s="51">
        <f t="shared" si="15"/>
        <v>36513.335250000004</v>
      </c>
      <c r="AJ40" s="51"/>
      <c r="AK40" s="51"/>
      <c r="AL40" s="51">
        <f t="shared" si="7"/>
        <v>169287.28987500002</v>
      </c>
      <c r="AM40" s="51">
        <f t="shared" si="8"/>
        <v>2031.4474785000002</v>
      </c>
      <c r="AN40" s="221">
        <f t="shared" si="9"/>
        <v>0</v>
      </c>
    </row>
    <row r="41" spans="1:40" s="2" customFormat="1" ht="30">
      <c r="A41" s="63">
        <v>21</v>
      </c>
      <c r="B41" s="65" t="s">
        <v>94</v>
      </c>
      <c r="C41" s="68" t="s">
        <v>153</v>
      </c>
      <c r="D41" s="25" t="s">
        <v>37</v>
      </c>
      <c r="E41" s="28">
        <f t="shared" si="10"/>
        <v>1.3125</v>
      </c>
      <c r="F41" s="63" t="s">
        <v>176</v>
      </c>
      <c r="G41" s="25" t="s">
        <v>37</v>
      </c>
      <c r="H41" s="201" t="s">
        <v>426</v>
      </c>
      <c r="I41" s="137">
        <v>5.32</v>
      </c>
      <c r="J41" s="51">
        <v>17697</v>
      </c>
      <c r="K41" s="26">
        <v>1.75</v>
      </c>
      <c r="L41" s="51">
        <f t="shared" si="1"/>
        <v>164759.07</v>
      </c>
      <c r="M41" s="27">
        <f t="shared" si="2"/>
        <v>21</v>
      </c>
      <c r="N41" s="63">
        <v>3</v>
      </c>
      <c r="O41" s="51">
        <f t="shared" si="3"/>
        <v>30892.325625000001</v>
      </c>
      <c r="P41" s="76">
        <v>18</v>
      </c>
      <c r="Q41" s="51">
        <f t="shared" si="14"/>
        <v>185353.95375000002</v>
      </c>
      <c r="R41" s="27"/>
      <c r="S41" s="51">
        <f t="shared" si="4"/>
        <v>216246.27937500001</v>
      </c>
      <c r="T41" s="51">
        <f t="shared" si="5"/>
        <v>21624.627937500001</v>
      </c>
      <c r="U41" s="51"/>
      <c r="V41" s="79"/>
      <c r="W41" s="51">
        <f t="shared" si="11"/>
        <v>0</v>
      </c>
      <c r="X41" s="79"/>
      <c r="Y41" s="39"/>
      <c r="Z41" s="51"/>
      <c r="AA41" s="55"/>
      <c r="AB41" s="51"/>
      <c r="AC41" s="51">
        <f t="shared" si="6"/>
        <v>64873.883812500004</v>
      </c>
      <c r="AD41" s="28"/>
      <c r="AE41" s="51"/>
      <c r="AF41" s="51">
        <f>SUM(J41*0.2)</f>
        <v>3539.4</v>
      </c>
      <c r="AG41" s="197"/>
      <c r="AH41" s="51"/>
      <c r="AI41" s="51">
        <f t="shared" si="15"/>
        <v>86498.511750000005</v>
      </c>
      <c r="AJ41" s="51"/>
      <c r="AK41" s="51"/>
      <c r="AL41" s="51">
        <f t="shared" si="7"/>
        <v>392782.70287500008</v>
      </c>
      <c r="AM41" s="51">
        <f t="shared" si="8"/>
        <v>4713.3924345000014</v>
      </c>
      <c r="AN41" s="221">
        <f t="shared" si="9"/>
        <v>21</v>
      </c>
    </row>
    <row r="42" spans="1:40" s="2" customFormat="1" ht="63.75">
      <c r="A42" s="63">
        <v>22</v>
      </c>
      <c r="B42" s="65" t="s">
        <v>95</v>
      </c>
      <c r="C42" s="68" t="s">
        <v>154</v>
      </c>
      <c r="D42" s="25" t="s">
        <v>37</v>
      </c>
      <c r="E42" s="28">
        <f t="shared" si="10"/>
        <v>0.5625</v>
      </c>
      <c r="F42" s="63" t="s">
        <v>176</v>
      </c>
      <c r="G42" s="25" t="s">
        <v>37</v>
      </c>
      <c r="H42" s="201" t="s">
        <v>427</v>
      </c>
      <c r="I42" s="137">
        <v>5.32</v>
      </c>
      <c r="J42" s="51">
        <v>17697</v>
      </c>
      <c r="K42" s="26">
        <v>1.75</v>
      </c>
      <c r="L42" s="51">
        <f t="shared" si="1"/>
        <v>164759.07</v>
      </c>
      <c r="M42" s="27">
        <f t="shared" si="2"/>
        <v>9</v>
      </c>
      <c r="N42" s="63"/>
      <c r="O42" s="51"/>
      <c r="P42" s="76">
        <v>9</v>
      </c>
      <c r="Q42" s="51">
        <f t="shared" si="14"/>
        <v>92676.976875000008</v>
      </c>
      <c r="R42" s="27"/>
      <c r="S42" s="51">
        <f t="shared" si="4"/>
        <v>92676.976875000008</v>
      </c>
      <c r="T42" s="51">
        <f t="shared" si="5"/>
        <v>9267.6976875000018</v>
      </c>
      <c r="U42" s="51"/>
      <c r="V42" s="79"/>
      <c r="W42" s="51">
        <f t="shared" si="11"/>
        <v>0</v>
      </c>
      <c r="X42" s="79"/>
      <c r="Y42" s="39"/>
      <c r="Z42" s="51"/>
      <c r="AA42" s="55"/>
      <c r="AB42" s="51"/>
      <c r="AC42" s="51">
        <f t="shared" si="6"/>
        <v>27803.0930625</v>
      </c>
      <c r="AD42" s="28"/>
      <c r="AE42" s="51"/>
      <c r="AF42" s="51">
        <f>SUM(J42*0.2)</f>
        <v>3539.4</v>
      </c>
      <c r="AG42" s="197"/>
      <c r="AH42" s="51"/>
      <c r="AI42" s="51">
        <f t="shared" si="15"/>
        <v>37070.790750000007</v>
      </c>
      <c r="AJ42" s="51"/>
      <c r="AK42" s="51"/>
      <c r="AL42" s="51">
        <f t="shared" si="7"/>
        <v>170357.95837500002</v>
      </c>
      <c r="AM42" s="51">
        <f t="shared" si="8"/>
        <v>2044.2955005000001</v>
      </c>
      <c r="AN42" s="221">
        <f t="shared" si="9"/>
        <v>9</v>
      </c>
    </row>
    <row r="43" spans="1:40" s="2" customFormat="1" ht="38.25">
      <c r="A43" s="63">
        <v>23</v>
      </c>
      <c r="B43" s="65" t="s">
        <v>96</v>
      </c>
      <c r="C43" s="68" t="s">
        <v>155</v>
      </c>
      <c r="D43" s="25" t="s">
        <v>37</v>
      </c>
      <c r="E43" s="28">
        <f t="shared" si="10"/>
        <v>1.3125</v>
      </c>
      <c r="F43" s="63" t="s">
        <v>176</v>
      </c>
      <c r="G43" s="25" t="s">
        <v>37</v>
      </c>
      <c r="H43" s="201" t="s">
        <v>428</v>
      </c>
      <c r="I43" s="137">
        <v>5.32</v>
      </c>
      <c r="J43" s="51">
        <v>17697</v>
      </c>
      <c r="K43" s="26">
        <v>1.75</v>
      </c>
      <c r="L43" s="51">
        <f t="shared" si="1"/>
        <v>164759.07</v>
      </c>
      <c r="M43" s="27">
        <f t="shared" si="2"/>
        <v>21</v>
      </c>
      <c r="N43" s="63">
        <v>15</v>
      </c>
      <c r="O43" s="51">
        <f t="shared" si="3"/>
        <v>154461.62812500002</v>
      </c>
      <c r="P43" s="76">
        <v>6</v>
      </c>
      <c r="Q43" s="51">
        <f t="shared" si="14"/>
        <v>61784.651250000003</v>
      </c>
      <c r="R43" s="27"/>
      <c r="S43" s="51">
        <f t="shared" si="4"/>
        <v>216246.27937500001</v>
      </c>
      <c r="T43" s="51">
        <f t="shared" si="5"/>
        <v>21624.627937500001</v>
      </c>
      <c r="U43" s="51"/>
      <c r="V43" s="79"/>
      <c r="W43" s="80">
        <f t="shared" si="11"/>
        <v>0</v>
      </c>
      <c r="X43" s="79"/>
      <c r="Y43" s="81"/>
      <c r="Z43" s="51"/>
      <c r="AA43" s="55"/>
      <c r="AB43" s="51"/>
      <c r="AC43" s="51">
        <f t="shared" si="6"/>
        <v>64873.883812500004</v>
      </c>
      <c r="AD43" s="28">
        <v>21</v>
      </c>
      <c r="AE43" s="51">
        <f t="shared" si="13"/>
        <v>9290.9250000000011</v>
      </c>
      <c r="AF43" s="51"/>
      <c r="AG43" s="197"/>
      <c r="AH43" s="51"/>
      <c r="AI43" s="51">
        <f t="shared" si="15"/>
        <v>86498.511750000005</v>
      </c>
      <c r="AJ43" s="51"/>
      <c r="AK43" s="51"/>
      <c r="AL43" s="51">
        <f t="shared" si="7"/>
        <v>398534.22787499998</v>
      </c>
      <c r="AM43" s="51">
        <f t="shared" si="8"/>
        <v>4782.4107345000002</v>
      </c>
      <c r="AN43" s="221">
        <f t="shared" si="9"/>
        <v>21</v>
      </c>
    </row>
    <row r="44" spans="1:40" s="2" customFormat="1" ht="38.25">
      <c r="A44" s="63">
        <v>24</v>
      </c>
      <c r="B44" s="65" t="s">
        <v>97</v>
      </c>
      <c r="C44" s="68" t="s">
        <v>156</v>
      </c>
      <c r="D44" s="25" t="s">
        <v>37</v>
      </c>
      <c r="E44" s="28">
        <f t="shared" si="10"/>
        <v>1.375</v>
      </c>
      <c r="F44" s="63" t="s">
        <v>176</v>
      </c>
      <c r="G44" s="25" t="s">
        <v>37</v>
      </c>
      <c r="H44" s="201" t="s">
        <v>429</v>
      </c>
      <c r="I44" s="137">
        <v>5.32</v>
      </c>
      <c r="J44" s="51">
        <v>17697</v>
      </c>
      <c r="K44" s="26">
        <v>1.75</v>
      </c>
      <c r="L44" s="51">
        <f t="shared" si="1"/>
        <v>164759.07</v>
      </c>
      <c r="M44" s="27">
        <f t="shared" si="2"/>
        <v>22</v>
      </c>
      <c r="N44" s="63">
        <v>18</v>
      </c>
      <c r="O44" s="51">
        <f t="shared" si="3"/>
        <v>185353.95375000002</v>
      </c>
      <c r="P44" s="76">
        <v>4</v>
      </c>
      <c r="Q44" s="51">
        <f t="shared" si="14"/>
        <v>41189.767500000002</v>
      </c>
      <c r="R44" s="27"/>
      <c r="S44" s="51">
        <f t="shared" si="4"/>
        <v>226543.72125</v>
      </c>
      <c r="T44" s="51">
        <f t="shared" si="5"/>
        <v>22654.372125000002</v>
      </c>
      <c r="U44" s="51"/>
      <c r="V44" s="79"/>
      <c r="W44" s="51">
        <f t="shared" si="11"/>
        <v>0</v>
      </c>
      <c r="X44" s="79">
        <v>22</v>
      </c>
      <c r="Y44" s="39">
        <v>0.5</v>
      </c>
      <c r="Z44" s="51">
        <f t="shared" si="12"/>
        <v>12166.6875</v>
      </c>
      <c r="AA44" s="55"/>
      <c r="AB44" s="51">
        <f>SUM(J44*2)</f>
        <v>35394</v>
      </c>
      <c r="AC44" s="51">
        <f t="shared" si="6"/>
        <v>67963.116374999998</v>
      </c>
      <c r="AD44" s="28">
        <v>22</v>
      </c>
      <c r="AE44" s="51">
        <f t="shared" si="13"/>
        <v>9733.35</v>
      </c>
      <c r="AF44" s="51">
        <f>SUM(J44*0.2)</f>
        <v>3539.4</v>
      </c>
      <c r="AG44" s="197"/>
      <c r="AH44" s="51"/>
      <c r="AI44" s="51">
        <f t="shared" si="15"/>
        <v>90617.488500000007</v>
      </c>
      <c r="AJ44" s="51"/>
      <c r="AK44" s="51"/>
      <c r="AL44" s="51">
        <f t="shared" si="7"/>
        <v>468612.13575000002</v>
      </c>
      <c r="AM44" s="51">
        <f t="shared" si="8"/>
        <v>5623.3456290000004</v>
      </c>
      <c r="AN44" s="221">
        <f t="shared" si="9"/>
        <v>0</v>
      </c>
    </row>
    <row r="45" spans="1:40" s="2" customFormat="1" ht="38.25">
      <c r="A45" s="63">
        <v>25</v>
      </c>
      <c r="B45" s="69" t="s">
        <v>98</v>
      </c>
      <c r="C45" s="68" t="s">
        <v>157</v>
      </c>
      <c r="D45" s="25" t="s">
        <v>37</v>
      </c>
      <c r="E45" s="28">
        <f t="shared" si="10"/>
        <v>1.0625</v>
      </c>
      <c r="F45" s="63" t="s">
        <v>176</v>
      </c>
      <c r="G45" s="25" t="s">
        <v>37</v>
      </c>
      <c r="H45" s="201" t="s">
        <v>430</v>
      </c>
      <c r="I45" s="137">
        <v>5.24</v>
      </c>
      <c r="J45" s="51">
        <v>17697</v>
      </c>
      <c r="K45" s="26">
        <v>1.75</v>
      </c>
      <c r="L45" s="51">
        <f t="shared" si="1"/>
        <v>162281.49000000002</v>
      </c>
      <c r="M45" s="27">
        <f t="shared" si="2"/>
        <v>17</v>
      </c>
      <c r="N45" s="63"/>
      <c r="O45" s="51"/>
      <c r="P45" s="76">
        <v>17</v>
      </c>
      <c r="Q45" s="51">
        <f t="shared" si="14"/>
        <v>172424.08312500003</v>
      </c>
      <c r="R45" s="27"/>
      <c r="S45" s="51">
        <f t="shared" si="4"/>
        <v>172424.08312500003</v>
      </c>
      <c r="T45" s="51">
        <f t="shared" si="5"/>
        <v>17242.408312500003</v>
      </c>
      <c r="U45" s="51"/>
      <c r="V45" s="79"/>
      <c r="W45" s="51">
        <f t="shared" si="11"/>
        <v>0</v>
      </c>
      <c r="X45" s="79">
        <v>17</v>
      </c>
      <c r="Y45" s="39">
        <v>0.5</v>
      </c>
      <c r="Z45" s="51">
        <f t="shared" si="12"/>
        <v>9401.53125</v>
      </c>
      <c r="AA45" s="55">
        <f>3063*10</f>
        <v>30630</v>
      </c>
      <c r="AB45" s="51"/>
      <c r="AC45" s="51">
        <f t="shared" si="6"/>
        <v>51727.22493750001</v>
      </c>
      <c r="AD45" s="28">
        <v>17</v>
      </c>
      <c r="AE45" s="51">
        <f t="shared" si="13"/>
        <v>7521.2250000000004</v>
      </c>
      <c r="AF45" s="51"/>
      <c r="AG45" s="197"/>
      <c r="AH45" s="51"/>
      <c r="AI45" s="51"/>
      <c r="AJ45" s="51">
        <f>S45*0.5</f>
        <v>86212.041562500017</v>
      </c>
      <c r="AK45" s="51"/>
      <c r="AL45" s="51">
        <f t="shared" si="7"/>
        <v>375158.51418750011</v>
      </c>
      <c r="AM45" s="51">
        <f t="shared" si="8"/>
        <v>4501.9021702500013</v>
      </c>
      <c r="AN45" s="221">
        <f t="shared" si="9"/>
        <v>0</v>
      </c>
    </row>
    <row r="46" spans="1:40" s="2" customFormat="1" ht="38.25">
      <c r="A46" s="63">
        <v>26</v>
      </c>
      <c r="B46" s="70" t="s">
        <v>99</v>
      </c>
      <c r="C46" s="68" t="s">
        <v>158</v>
      </c>
      <c r="D46" s="25" t="s">
        <v>37</v>
      </c>
      <c r="E46" s="28">
        <f t="shared" si="10"/>
        <v>1.3125</v>
      </c>
      <c r="F46" s="63" t="s">
        <v>176</v>
      </c>
      <c r="G46" s="25" t="s">
        <v>37</v>
      </c>
      <c r="H46" s="201" t="s">
        <v>431</v>
      </c>
      <c r="I46" s="137">
        <v>5.24</v>
      </c>
      <c r="J46" s="51">
        <v>17697</v>
      </c>
      <c r="K46" s="26">
        <v>1.75</v>
      </c>
      <c r="L46" s="51">
        <f t="shared" si="1"/>
        <v>162281.49000000002</v>
      </c>
      <c r="M46" s="27">
        <f t="shared" si="2"/>
        <v>21</v>
      </c>
      <c r="N46" s="63">
        <v>9</v>
      </c>
      <c r="O46" s="51">
        <f t="shared" si="3"/>
        <v>91283.338125000009</v>
      </c>
      <c r="P46" s="76">
        <v>12</v>
      </c>
      <c r="Q46" s="51">
        <f t="shared" si="14"/>
        <v>121711.11750000002</v>
      </c>
      <c r="R46" s="27"/>
      <c r="S46" s="51">
        <f t="shared" si="4"/>
        <v>212994.45562500003</v>
      </c>
      <c r="T46" s="51">
        <f t="shared" si="5"/>
        <v>21299.445562500005</v>
      </c>
      <c r="U46" s="51"/>
      <c r="V46" s="79"/>
      <c r="W46" s="51">
        <f t="shared" si="11"/>
        <v>0</v>
      </c>
      <c r="X46" s="79"/>
      <c r="Y46" s="39"/>
      <c r="Z46" s="51"/>
      <c r="AA46" s="55">
        <f>3063*10</f>
        <v>30630</v>
      </c>
      <c r="AB46" s="51">
        <f>SUM(J46*2)</f>
        <v>35394</v>
      </c>
      <c r="AC46" s="51">
        <f t="shared" si="6"/>
        <v>63898.336687500007</v>
      </c>
      <c r="AD46" s="28">
        <v>21</v>
      </c>
      <c r="AE46" s="51">
        <f t="shared" si="13"/>
        <v>9290.9250000000011</v>
      </c>
      <c r="AF46" s="51">
        <f>SUM(J46*0.2)</f>
        <v>3539.4</v>
      </c>
      <c r="AG46" s="197"/>
      <c r="AH46" s="51"/>
      <c r="AI46" s="51">
        <f>S46*0.4</f>
        <v>85197.782250000018</v>
      </c>
      <c r="AJ46" s="51"/>
      <c r="AK46" s="51"/>
      <c r="AL46" s="51">
        <f t="shared" si="7"/>
        <v>462244.34512500005</v>
      </c>
      <c r="AM46" s="51">
        <f t="shared" si="8"/>
        <v>5546.9321415000004</v>
      </c>
      <c r="AN46" s="221">
        <f t="shared" si="9"/>
        <v>21</v>
      </c>
    </row>
    <row r="47" spans="1:40" s="2" customFormat="1" ht="38.25">
      <c r="A47" s="63">
        <v>27</v>
      </c>
      <c r="B47" s="66" t="s">
        <v>100</v>
      </c>
      <c r="C47" s="68" t="s">
        <v>146</v>
      </c>
      <c r="D47" s="25" t="s">
        <v>37</v>
      </c>
      <c r="E47" s="28">
        <f t="shared" si="10"/>
        <v>1</v>
      </c>
      <c r="F47" s="63" t="s">
        <v>176</v>
      </c>
      <c r="G47" s="25" t="s">
        <v>37</v>
      </c>
      <c r="H47" s="201" t="s">
        <v>432</v>
      </c>
      <c r="I47" s="137">
        <v>5.32</v>
      </c>
      <c r="J47" s="51">
        <v>17697</v>
      </c>
      <c r="K47" s="26">
        <v>1.75</v>
      </c>
      <c r="L47" s="51">
        <f t="shared" si="1"/>
        <v>164759.07</v>
      </c>
      <c r="M47" s="27">
        <f t="shared" si="2"/>
        <v>16</v>
      </c>
      <c r="N47" s="63">
        <v>16</v>
      </c>
      <c r="O47" s="51">
        <f t="shared" si="3"/>
        <v>164759.07</v>
      </c>
      <c r="P47" s="76"/>
      <c r="Q47" s="51"/>
      <c r="R47" s="27"/>
      <c r="S47" s="51">
        <f t="shared" si="4"/>
        <v>164759.07</v>
      </c>
      <c r="T47" s="51">
        <f t="shared" si="5"/>
        <v>16475.907000000003</v>
      </c>
      <c r="U47" s="51"/>
      <c r="V47" s="79"/>
      <c r="W47" s="51">
        <f t="shared" si="11"/>
        <v>0</v>
      </c>
      <c r="X47" s="79">
        <v>11.5</v>
      </c>
      <c r="Y47" s="39">
        <v>0.5</v>
      </c>
      <c r="Z47" s="51">
        <f t="shared" si="12"/>
        <v>6359.859375</v>
      </c>
      <c r="AA47" s="55"/>
      <c r="AB47" s="51"/>
      <c r="AC47" s="51">
        <f t="shared" si="6"/>
        <v>49427.720999999998</v>
      </c>
      <c r="AD47" s="28"/>
      <c r="AE47" s="51"/>
      <c r="AF47" s="51"/>
      <c r="AG47" s="197"/>
      <c r="AH47" s="51"/>
      <c r="AI47" s="51">
        <f>S47*0.4</f>
        <v>65903.628000000012</v>
      </c>
      <c r="AJ47" s="51"/>
      <c r="AK47" s="51"/>
      <c r="AL47" s="51">
        <f t="shared" si="7"/>
        <v>302926.185375</v>
      </c>
      <c r="AM47" s="51">
        <f t="shared" si="8"/>
        <v>3635.1142245000001</v>
      </c>
      <c r="AN47" s="221">
        <f t="shared" si="9"/>
        <v>4.5</v>
      </c>
    </row>
    <row r="48" spans="1:40" s="2" customFormat="1" ht="38.25">
      <c r="A48" s="63">
        <v>28</v>
      </c>
      <c r="B48" s="66" t="s">
        <v>101</v>
      </c>
      <c r="C48" s="68" t="s">
        <v>157</v>
      </c>
      <c r="D48" s="25" t="s">
        <v>37</v>
      </c>
      <c r="E48" s="28">
        <f t="shared" si="10"/>
        <v>1.3125</v>
      </c>
      <c r="F48" s="63" t="s">
        <v>179</v>
      </c>
      <c r="G48" s="25" t="s">
        <v>69</v>
      </c>
      <c r="H48" s="201" t="s">
        <v>433</v>
      </c>
      <c r="I48" s="137">
        <v>5.12</v>
      </c>
      <c r="J48" s="51">
        <v>17697</v>
      </c>
      <c r="K48" s="26">
        <v>1.75</v>
      </c>
      <c r="L48" s="51">
        <f t="shared" si="1"/>
        <v>158565.12</v>
      </c>
      <c r="M48" s="27">
        <f t="shared" si="2"/>
        <v>21</v>
      </c>
      <c r="N48" s="63"/>
      <c r="O48" s="51"/>
      <c r="P48" s="76">
        <v>21</v>
      </c>
      <c r="Q48" s="51">
        <f t="shared" si="14"/>
        <v>208116.72</v>
      </c>
      <c r="R48" s="27"/>
      <c r="S48" s="51">
        <f t="shared" si="4"/>
        <v>208116.72</v>
      </c>
      <c r="T48" s="51">
        <f t="shared" si="5"/>
        <v>20811.672000000002</v>
      </c>
      <c r="U48" s="51"/>
      <c r="V48" s="79"/>
      <c r="W48" s="51">
        <f t="shared" si="11"/>
        <v>0</v>
      </c>
      <c r="X48" s="79">
        <v>21</v>
      </c>
      <c r="Y48" s="39">
        <v>0.5</v>
      </c>
      <c r="Z48" s="51">
        <f t="shared" si="12"/>
        <v>11613.65625</v>
      </c>
      <c r="AA48" s="55"/>
      <c r="AB48" s="51"/>
      <c r="AC48" s="51">
        <f t="shared" si="6"/>
        <v>62435.015999999996</v>
      </c>
      <c r="AD48" s="28"/>
      <c r="AE48" s="51"/>
      <c r="AF48" s="51">
        <f>SUM(J48*0.2)</f>
        <v>3539.4</v>
      </c>
      <c r="AG48" s="197"/>
      <c r="AH48" s="197">
        <f>S48*35%</f>
        <v>72840.851999999999</v>
      </c>
      <c r="AI48" s="51"/>
      <c r="AJ48" s="51"/>
      <c r="AK48" s="51"/>
      <c r="AL48" s="51">
        <f t="shared" si="7"/>
        <v>379357.31624999997</v>
      </c>
      <c r="AM48" s="51">
        <f t="shared" si="8"/>
        <v>4552.2877950000002</v>
      </c>
      <c r="AN48" s="221">
        <f t="shared" si="9"/>
        <v>0</v>
      </c>
    </row>
    <row r="49" spans="1:40" s="2" customFormat="1" ht="38.25">
      <c r="A49" s="63">
        <v>29</v>
      </c>
      <c r="B49" s="65" t="s">
        <v>102</v>
      </c>
      <c r="C49" s="68" t="s">
        <v>159</v>
      </c>
      <c r="D49" s="25" t="s">
        <v>37</v>
      </c>
      <c r="E49" s="28">
        <f t="shared" si="10"/>
        <v>1.25</v>
      </c>
      <c r="F49" s="63" t="s">
        <v>176</v>
      </c>
      <c r="G49" s="25" t="s">
        <v>37</v>
      </c>
      <c r="H49" s="201" t="s">
        <v>434</v>
      </c>
      <c r="I49" s="137">
        <v>5.24</v>
      </c>
      <c r="J49" s="51">
        <v>17697</v>
      </c>
      <c r="K49" s="26">
        <v>1.75</v>
      </c>
      <c r="L49" s="51">
        <f t="shared" si="1"/>
        <v>162281.49000000002</v>
      </c>
      <c r="M49" s="27">
        <f t="shared" si="2"/>
        <v>20</v>
      </c>
      <c r="N49" s="63">
        <v>8</v>
      </c>
      <c r="O49" s="51">
        <f t="shared" si="3"/>
        <v>81140.74500000001</v>
      </c>
      <c r="P49" s="76">
        <v>12</v>
      </c>
      <c r="Q49" s="51">
        <f t="shared" si="14"/>
        <v>121711.11750000002</v>
      </c>
      <c r="R49" s="27"/>
      <c r="S49" s="51">
        <f t="shared" si="4"/>
        <v>202851.86250000005</v>
      </c>
      <c r="T49" s="51">
        <f t="shared" si="5"/>
        <v>20285.186250000006</v>
      </c>
      <c r="U49" s="51"/>
      <c r="V49" s="79"/>
      <c r="W49" s="51">
        <f t="shared" si="11"/>
        <v>0</v>
      </c>
      <c r="X49" s="79">
        <v>14</v>
      </c>
      <c r="Y49" s="39">
        <v>0.5</v>
      </c>
      <c r="Z49" s="51">
        <f t="shared" si="12"/>
        <v>7742.4375</v>
      </c>
      <c r="AA49" s="55"/>
      <c r="AB49" s="51"/>
      <c r="AC49" s="51">
        <f t="shared" si="6"/>
        <v>60855.558750000011</v>
      </c>
      <c r="AD49" s="28">
        <v>20</v>
      </c>
      <c r="AE49" s="51">
        <f t="shared" si="13"/>
        <v>8848.5</v>
      </c>
      <c r="AF49" s="51"/>
      <c r="AG49" s="197"/>
      <c r="AH49" s="51"/>
      <c r="AI49" s="51">
        <f>S49*0.4</f>
        <v>81140.745000000024</v>
      </c>
      <c r="AJ49" s="51"/>
      <c r="AK49" s="51"/>
      <c r="AL49" s="51">
        <f t="shared" si="7"/>
        <v>381724.29000000004</v>
      </c>
      <c r="AM49" s="51">
        <f t="shared" si="8"/>
        <v>4580.6914800000004</v>
      </c>
      <c r="AN49" s="221">
        <f t="shared" si="9"/>
        <v>6</v>
      </c>
    </row>
    <row r="50" spans="1:40" s="2" customFormat="1" ht="30">
      <c r="A50" s="63">
        <v>30</v>
      </c>
      <c r="B50" s="67" t="s">
        <v>103</v>
      </c>
      <c r="C50" s="68" t="s">
        <v>160</v>
      </c>
      <c r="D50" s="25" t="s">
        <v>37</v>
      </c>
      <c r="E50" s="28">
        <f t="shared" si="10"/>
        <v>1.3125</v>
      </c>
      <c r="F50" s="63" t="s">
        <v>180</v>
      </c>
      <c r="G50" s="25"/>
      <c r="H50" s="201" t="s">
        <v>370</v>
      </c>
      <c r="I50" s="137">
        <v>4.0999999999999996</v>
      </c>
      <c r="J50" s="51">
        <v>17697</v>
      </c>
      <c r="K50" s="26">
        <v>1.75</v>
      </c>
      <c r="L50" s="51">
        <f t="shared" si="1"/>
        <v>126975.97499999999</v>
      </c>
      <c r="M50" s="27">
        <f t="shared" si="2"/>
        <v>21</v>
      </c>
      <c r="N50" s="63">
        <v>12</v>
      </c>
      <c r="O50" s="51">
        <f t="shared" si="3"/>
        <v>95231.981249999997</v>
      </c>
      <c r="P50" s="76">
        <v>9</v>
      </c>
      <c r="Q50" s="51">
        <f t="shared" si="14"/>
        <v>71423.985937499994</v>
      </c>
      <c r="R50" s="27"/>
      <c r="S50" s="51">
        <f t="shared" si="4"/>
        <v>166655.96718749998</v>
      </c>
      <c r="T50" s="51">
        <f t="shared" si="5"/>
        <v>16665.596718749999</v>
      </c>
      <c r="U50" s="51"/>
      <c r="V50" s="79"/>
      <c r="W50" s="51">
        <f t="shared" si="11"/>
        <v>0</v>
      </c>
      <c r="X50" s="79">
        <v>0</v>
      </c>
      <c r="Y50" s="39"/>
      <c r="Z50" s="51">
        <f t="shared" si="12"/>
        <v>0</v>
      </c>
      <c r="AA50" s="55"/>
      <c r="AB50" s="51">
        <f>SUM(J50*2)</f>
        <v>35394</v>
      </c>
      <c r="AC50" s="51">
        <f t="shared" si="6"/>
        <v>49996.79015624999</v>
      </c>
      <c r="AD50" s="28">
        <v>21</v>
      </c>
      <c r="AE50" s="51">
        <f t="shared" si="13"/>
        <v>9290.9250000000011</v>
      </c>
      <c r="AF50" s="51"/>
      <c r="AG50" s="197"/>
      <c r="AH50" s="51"/>
      <c r="AI50" s="51"/>
      <c r="AJ50" s="51"/>
      <c r="AK50" s="51"/>
      <c r="AL50" s="51">
        <f t="shared" si="7"/>
        <v>278003.27906249999</v>
      </c>
      <c r="AM50" s="51">
        <f t="shared" si="8"/>
        <v>3336.03934875</v>
      </c>
      <c r="AN50" s="221">
        <f t="shared" si="9"/>
        <v>21</v>
      </c>
    </row>
    <row r="51" spans="1:40" s="2" customFormat="1" ht="38.25">
      <c r="A51" s="63">
        <v>31</v>
      </c>
      <c r="B51" s="65" t="s">
        <v>104</v>
      </c>
      <c r="C51" s="68" t="s">
        <v>159</v>
      </c>
      <c r="D51" s="25" t="s">
        <v>37</v>
      </c>
      <c r="E51" s="28">
        <f t="shared" si="10"/>
        <v>1.125</v>
      </c>
      <c r="F51" s="63" t="s">
        <v>176</v>
      </c>
      <c r="G51" s="25" t="s">
        <v>37</v>
      </c>
      <c r="H51" s="201" t="s">
        <v>435</v>
      </c>
      <c r="I51" s="137">
        <v>5.01</v>
      </c>
      <c r="J51" s="51">
        <v>17697</v>
      </c>
      <c r="K51" s="26">
        <v>1.75</v>
      </c>
      <c r="L51" s="51">
        <f t="shared" si="1"/>
        <v>155158.44749999998</v>
      </c>
      <c r="M51" s="27">
        <f t="shared" si="2"/>
        <v>18</v>
      </c>
      <c r="N51" s="63">
        <v>18</v>
      </c>
      <c r="O51" s="51">
        <f t="shared" si="3"/>
        <v>174553.25343749998</v>
      </c>
      <c r="P51" s="76"/>
      <c r="Q51" s="51"/>
      <c r="R51" s="27"/>
      <c r="S51" s="51">
        <f t="shared" si="4"/>
        <v>174553.25343749998</v>
      </c>
      <c r="T51" s="51">
        <f t="shared" si="5"/>
        <v>17455.325343749999</v>
      </c>
      <c r="U51" s="51"/>
      <c r="V51" s="79"/>
      <c r="W51" s="51">
        <f t="shared" si="11"/>
        <v>0</v>
      </c>
      <c r="X51" s="79">
        <v>14</v>
      </c>
      <c r="Y51" s="39">
        <v>0.5</v>
      </c>
      <c r="Z51" s="51">
        <f t="shared" si="12"/>
        <v>7742.4375</v>
      </c>
      <c r="AA51" s="55">
        <f>3063*10</f>
        <v>30630</v>
      </c>
      <c r="AB51" s="51"/>
      <c r="AC51" s="51">
        <f t="shared" si="6"/>
        <v>52365.976031249993</v>
      </c>
      <c r="AD51" s="28">
        <v>18</v>
      </c>
      <c r="AE51" s="51">
        <f t="shared" si="13"/>
        <v>7963.6500000000005</v>
      </c>
      <c r="AF51" s="51"/>
      <c r="AG51" s="197"/>
      <c r="AH51" s="51"/>
      <c r="AI51" s="51">
        <f>S51*0.4</f>
        <v>69821.301374999995</v>
      </c>
      <c r="AJ51" s="51"/>
      <c r="AK51" s="51"/>
      <c r="AL51" s="51">
        <f t="shared" si="7"/>
        <v>360531.94368749997</v>
      </c>
      <c r="AM51" s="51">
        <f t="shared" si="8"/>
        <v>4326.3833242499995</v>
      </c>
      <c r="AN51" s="221">
        <f t="shared" si="9"/>
        <v>4</v>
      </c>
    </row>
    <row r="52" spans="1:40" s="2" customFormat="1" ht="38.25">
      <c r="A52" s="63">
        <v>32</v>
      </c>
      <c r="B52" s="70" t="s">
        <v>105</v>
      </c>
      <c r="C52" s="68" t="s">
        <v>157</v>
      </c>
      <c r="D52" s="25" t="s">
        <v>37</v>
      </c>
      <c r="E52" s="28">
        <f t="shared" si="10"/>
        <v>1.1875</v>
      </c>
      <c r="F52" s="63" t="s">
        <v>181</v>
      </c>
      <c r="G52" s="25" t="s">
        <v>70</v>
      </c>
      <c r="H52" s="201" t="s">
        <v>436</v>
      </c>
      <c r="I52" s="137">
        <v>5.16</v>
      </c>
      <c r="J52" s="51">
        <v>17697</v>
      </c>
      <c r="K52" s="26">
        <v>1.75</v>
      </c>
      <c r="L52" s="51">
        <f t="shared" si="1"/>
        <v>159803.91</v>
      </c>
      <c r="M52" s="27">
        <f t="shared" si="2"/>
        <v>19</v>
      </c>
      <c r="N52" s="63">
        <v>16</v>
      </c>
      <c r="O52" s="51">
        <f t="shared" si="3"/>
        <v>159803.91</v>
      </c>
      <c r="P52" s="76">
        <v>3</v>
      </c>
      <c r="Q52" s="51">
        <f t="shared" si="14"/>
        <v>29963.233124999999</v>
      </c>
      <c r="R52" s="27"/>
      <c r="S52" s="51">
        <f t="shared" si="4"/>
        <v>189767.143125</v>
      </c>
      <c r="T52" s="51">
        <f t="shared" si="5"/>
        <v>18976.7143125</v>
      </c>
      <c r="U52" s="51"/>
      <c r="V52" s="79"/>
      <c r="W52" s="51">
        <f t="shared" si="11"/>
        <v>0</v>
      </c>
      <c r="X52" s="79">
        <v>16</v>
      </c>
      <c r="Y52" s="39">
        <v>0.5</v>
      </c>
      <c r="Z52" s="51">
        <f t="shared" si="12"/>
        <v>8848.5</v>
      </c>
      <c r="AA52" s="55">
        <f>3063*10</f>
        <v>30630</v>
      </c>
      <c r="AB52" s="51"/>
      <c r="AC52" s="51">
        <f t="shared" si="6"/>
        <v>56930.142937500001</v>
      </c>
      <c r="AD52" s="28">
        <v>19</v>
      </c>
      <c r="AE52" s="51">
        <f t="shared" si="13"/>
        <v>8406.0750000000007</v>
      </c>
      <c r="AF52" s="51">
        <f>SUM(J52*0.2)</f>
        <v>3539.4</v>
      </c>
      <c r="AG52" s="197"/>
      <c r="AH52" s="51"/>
      <c r="AI52" s="51"/>
      <c r="AJ52" s="51"/>
      <c r="AK52" s="51"/>
      <c r="AL52" s="51">
        <f t="shared" si="7"/>
        <v>317097.97537500004</v>
      </c>
      <c r="AM52" s="51">
        <f t="shared" si="8"/>
        <v>3805.1757045000004</v>
      </c>
      <c r="AN52" s="221">
        <f t="shared" si="9"/>
        <v>3</v>
      </c>
    </row>
    <row r="53" spans="1:40" s="2" customFormat="1" ht="30">
      <c r="A53" s="63">
        <v>33</v>
      </c>
      <c r="B53" s="66" t="s">
        <v>106</v>
      </c>
      <c r="C53" s="68" t="s">
        <v>161</v>
      </c>
      <c r="D53" s="25" t="s">
        <v>37</v>
      </c>
      <c r="E53" s="28">
        <f t="shared" si="10"/>
        <v>1.3125</v>
      </c>
      <c r="F53" s="63" t="s">
        <v>180</v>
      </c>
      <c r="G53" s="25"/>
      <c r="H53" s="201" t="s">
        <v>437</v>
      </c>
      <c r="I53" s="137">
        <v>4.2300000000000004</v>
      </c>
      <c r="J53" s="51">
        <v>17697</v>
      </c>
      <c r="K53" s="26">
        <v>1.75</v>
      </c>
      <c r="L53" s="51">
        <f t="shared" si="1"/>
        <v>131002.04250000001</v>
      </c>
      <c r="M53" s="27">
        <f t="shared" si="2"/>
        <v>21</v>
      </c>
      <c r="N53" s="63">
        <v>12</v>
      </c>
      <c r="O53" s="51">
        <f t="shared" si="3"/>
        <v>98251.531875000015</v>
      </c>
      <c r="P53" s="76">
        <v>9</v>
      </c>
      <c r="Q53" s="51">
        <f t="shared" si="14"/>
        <v>73688.648906250004</v>
      </c>
      <c r="R53" s="27"/>
      <c r="S53" s="51">
        <f t="shared" si="4"/>
        <v>171940.18078125</v>
      </c>
      <c r="T53" s="51">
        <f t="shared" si="5"/>
        <v>17194.018078125002</v>
      </c>
      <c r="U53" s="51"/>
      <c r="V53" s="79"/>
      <c r="W53" s="51">
        <f t="shared" si="11"/>
        <v>0</v>
      </c>
      <c r="X53" s="79">
        <v>11</v>
      </c>
      <c r="Y53" s="39">
        <v>0.5</v>
      </c>
      <c r="Z53" s="51">
        <f t="shared" si="12"/>
        <v>6083.34375</v>
      </c>
      <c r="AA53" s="55"/>
      <c r="AB53" s="51">
        <f>SUM(J53*2)</f>
        <v>35394</v>
      </c>
      <c r="AC53" s="51">
        <f t="shared" si="6"/>
        <v>51582.054234374998</v>
      </c>
      <c r="AD53" s="28">
        <v>21</v>
      </c>
      <c r="AE53" s="51">
        <f t="shared" si="13"/>
        <v>9290.9250000000011</v>
      </c>
      <c r="AF53" s="51"/>
      <c r="AG53" s="197"/>
      <c r="AH53" s="51"/>
      <c r="AI53" s="51"/>
      <c r="AJ53" s="51"/>
      <c r="AK53" s="51"/>
      <c r="AL53" s="51">
        <f t="shared" si="7"/>
        <v>291484.52184375003</v>
      </c>
      <c r="AM53" s="51">
        <f t="shared" si="8"/>
        <v>3497.8142621250004</v>
      </c>
      <c r="AN53" s="221">
        <f t="shared" si="9"/>
        <v>10</v>
      </c>
    </row>
    <row r="54" spans="1:40" s="2" customFormat="1" ht="38.25">
      <c r="A54" s="63">
        <v>34</v>
      </c>
      <c r="B54" s="67" t="s">
        <v>107</v>
      </c>
      <c r="C54" s="68" t="s">
        <v>162</v>
      </c>
      <c r="D54" s="25" t="s">
        <v>37</v>
      </c>
      <c r="E54" s="28">
        <f t="shared" si="10"/>
        <v>0.25</v>
      </c>
      <c r="F54" s="63" t="s">
        <v>180</v>
      </c>
      <c r="G54" s="25"/>
      <c r="H54" s="201" t="s">
        <v>370</v>
      </c>
      <c r="I54" s="137">
        <v>4.0999999999999996</v>
      </c>
      <c r="J54" s="51">
        <v>17697</v>
      </c>
      <c r="K54" s="26">
        <v>1.75</v>
      </c>
      <c r="L54" s="51">
        <f t="shared" si="1"/>
        <v>126975.97499999999</v>
      </c>
      <c r="M54" s="27">
        <f t="shared" si="2"/>
        <v>4</v>
      </c>
      <c r="N54" s="63">
        <v>4</v>
      </c>
      <c r="O54" s="51">
        <f t="shared" si="3"/>
        <v>31743.993749999998</v>
      </c>
      <c r="P54" s="76"/>
      <c r="Q54" s="51"/>
      <c r="R54" s="27"/>
      <c r="S54" s="51">
        <f t="shared" si="4"/>
        <v>31743.993749999998</v>
      </c>
      <c r="T54" s="51">
        <f t="shared" si="5"/>
        <v>3174.399375</v>
      </c>
      <c r="U54" s="51"/>
      <c r="V54" s="79"/>
      <c r="W54" s="51">
        <f t="shared" si="11"/>
        <v>0</v>
      </c>
      <c r="X54" s="79"/>
      <c r="Y54" s="39"/>
      <c r="Z54" s="51"/>
      <c r="AA54" s="55"/>
      <c r="AB54" s="51"/>
      <c r="AC54" s="51">
        <f t="shared" si="6"/>
        <v>9523.198124999999</v>
      </c>
      <c r="AD54" s="28"/>
      <c r="AE54" s="51"/>
      <c r="AF54" s="51"/>
      <c r="AG54" s="197"/>
      <c r="AH54" s="51"/>
      <c r="AI54" s="51"/>
      <c r="AJ54" s="51"/>
      <c r="AK54" s="51"/>
      <c r="AL54" s="51">
        <f t="shared" si="7"/>
        <v>44441.591249999998</v>
      </c>
      <c r="AM54" s="51">
        <f t="shared" si="8"/>
        <v>533.29909499999997</v>
      </c>
      <c r="AN54" s="221">
        <f t="shared" si="9"/>
        <v>4</v>
      </c>
    </row>
    <row r="55" spans="1:40" s="2" customFormat="1" ht="30">
      <c r="A55" s="63">
        <v>35</v>
      </c>
      <c r="B55" s="71" t="s">
        <v>108</v>
      </c>
      <c r="C55" s="68" t="s">
        <v>163</v>
      </c>
      <c r="D55" s="25" t="s">
        <v>37</v>
      </c>
      <c r="E55" s="28">
        <f t="shared" si="10"/>
        <v>1.25</v>
      </c>
      <c r="F55" s="63" t="s">
        <v>181</v>
      </c>
      <c r="G55" s="25" t="s">
        <v>70</v>
      </c>
      <c r="H55" s="201" t="s">
        <v>414</v>
      </c>
      <c r="I55" s="137">
        <v>5.16</v>
      </c>
      <c r="J55" s="51">
        <v>17697</v>
      </c>
      <c r="K55" s="26">
        <v>1.75</v>
      </c>
      <c r="L55" s="51">
        <f t="shared" si="1"/>
        <v>159803.91</v>
      </c>
      <c r="M55" s="27">
        <f t="shared" si="2"/>
        <v>20</v>
      </c>
      <c r="N55" s="63">
        <v>20</v>
      </c>
      <c r="O55" s="51">
        <f t="shared" si="3"/>
        <v>199754.88750000001</v>
      </c>
      <c r="P55" s="76"/>
      <c r="Q55" s="51"/>
      <c r="R55" s="27"/>
      <c r="S55" s="51">
        <f t="shared" si="4"/>
        <v>199754.88750000001</v>
      </c>
      <c r="T55" s="51">
        <f t="shared" si="5"/>
        <v>19975.488750000004</v>
      </c>
      <c r="U55" s="51"/>
      <c r="V55" s="79"/>
      <c r="W55" s="51">
        <f t="shared" si="11"/>
        <v>0</v>
      </c>
      <c r="X55" s="79"/>
      <c r="Y55" s="39"/>
      <c r="Z55" s="51"/>
      <c r="AA55" s="55"/>
      <c r="AB55" s="51"/>
      <c r="AC55" s="51">
        <f t="shared" si="6"/>
        <v>59926.466249999998</v>
      </c>
      <c r="AD55" s="28"/>
      <c r="AE55" s="51"/>
      <c r="AF55" s="51"/>
      <c r="AG55" s="197">
        <f>+O55*30%</f>
        <v>59926.466249999998</v>
      </c>
      <c r="AH55" s="51"/>
      <c r="AI55" s="51"/>
      <c r="AJ55" s="51"/>
      <c r="AK55" s="51"/>
      <c r="AL55" s="51">
        <f t="shared" si="7"/>
        <v>339583.30875000003</v>
      </c>
      <c r="AM55" s="51">
        <f t="shared" si="8"/>
        <v>4074.9997050000002</v>
      </c>
      <c r="AN55" s="221">
        <f t="shared" si="9"/>
        <v>20</v>
      </c>
    </row>
    <row r="56" spans="1:40" s="2" customFormat="1" ht="38.25">
      <c r="A56" s="63">
        <v>36</v>
      </c>
      <c r="B56" s="72" t="s">
        <v>109</v>
      </c>
      <c r="C56" s="68" t="s">
        <v>157</v>
      </c>
      <c r="D56" s="25" t="s">
        <v>37</v>
      </c>
      <c r="E56" s="28">
        <f t="shared" si="10"/>
        <v>1</v>
      </c>
      <c r="F56" s="63" t="s">
        <v>179</v>
      </c>
      <c r="G56" s="25" t="s">
        <v>69</v>
      </c>
      <c r="H56" s="201" t="s">
        <v>438</v>
      </c>
      <c r="I56" s="137">
        <v>5.03</v>
      </c>
      <c r="J56" s="51">
        <v>17697</v>
      </c>
      <c r="K56" s="26">
        <v>1.75</v>
      </c>
      <c r="L56" s="51">
        <f t="shared" si="1"/>
        <v>155777.8425</v>
      </c>
      <c r="M56" s="27">
        <f t="shared" si="2"/>
        <v>16</v>
      </c>
      <c r="N56" s="63">
        <v>12</v>
      </c>
      <c r="O56" s="51">
        <f t="shared" si="3"/>
        <v>116833.38187499999</v>
      </c>
      <c r="P56" s="76">
        <v>4</v>
      </c>
      <c r="Q56" s="51">
        <f t="shared" si="14"/>
        <v>38944.460625</v>
      </c>
      <c r="R56" s="27"/>
      <c r="S56" s="51">
        <f t="shared" si="4"/>
        <v>155777.8425</v>
      </c>
      <c r="T56" s="51">
        <f t="shared" si="5"/>
        <v>15577.784250000001</v>
      </c>
      <c r="U56" s="51"/>
      <c r="V56" s="79"/>
      <c r="W56" s="51">
        <f t="shared" si="11"/>
        <v>0</v>
      </c>
      <c r="X56" s="79">
        <v>16</v>
      </c>
      <c r="Y56" s="39">
        <v>0.5</v>
      </c>
      <c r="Z56" s="51">
        <f t="shared" si="12"/>
        <v>8848.5</v>
      </c>
      <c r="AA56" s="55"/>
      <c r="AB56" s="51"/>
      <c r="AC56" s="51">
        <f t="shared" si="6"/>
        <v>46733.352749999998</v>
      </c>
      <c r="AD56" s="28">
        <v>16</v>
      </c>
      <c r="AE56" s="51">
        <f t="shared" si="13"/>
        <v>7078.8</v>
      </c>
      <c r="AF56" s="51"/>
      <c r="AG56" s="197"/>
      <c r="AH56" s="197">
        <f>S56*35%</f>
        <v>54522.244874999997</v>
      </c>
      <c r="AI56" s="51"/>
      <c r="AJ56" s="51"/>
      <c r="AK56" s="51"/>
      <c r="AL56" s="51">
        <f t="shared" si="7"/>
        <v>288538.52437500004</v>
      </c>
      <c r="AM56" s="51">
        <f t="shared" si="8"/>
        <v>3462.4622925000003</v>
      </c>
      <c r="AN56" s="221">
        <f t="shared" si="9"/>
        <v>0</v>
      </c>
    </row>
    <row r="57" spans="1:40" s="2" customFormat="1" ht="30">
      <c r="A57" s="63">
        <v>37</v>
      </c>
      <c r="B57" s="65" t="s">
        <v>110</v>
      </c>
      <c r="C57" s="68" t="s">
        <v>164</v>
      </c>
      <c r="D57" s="25" t="s">
        <v>37</v>
      </c>
      <c r="E57" s="28">
        <f t="shared" si="10"/>
        <v>1</v>
      </c>
      <c r="F57" s="63" t="s">
        <v>181</v>
      </c>
      <c r="G57" s="25" t="s">
        <v>70</v>
      </c>
      <c r="H57" s="201" t="s">
        <v>439</v>
      </c>
      <c r="I57" s="137">
        <v>4.9000000000000004</v>
      </c>
      <c r="J57" s="51">
        <v>17697</v>
      </c>
      <c r="K57" s="26">
        <v>1.75</v>
      </c>
      <c r="L57" s="51">
        <f t="shared" si="1"/>
        <v>151751.77500000002</v>
      </c>
      <c r="M57" s="27">
        <f t="shared" si="2"/>
        <v>16</v>
      </c>
      <c r="N57" s="63">
        <v>16</v>
      </c>
      <c r="O57" s="51">
        <f t="shared" si="3"/>
        <v>151751.77500000002</v>
      </c>
      <c r="P57" s="76"/>
      <c r="Q57" s="51"/>
      <c r="R57" s="27"/>
      <c r="S57" s="51">
        <f t="shared" si="4"/>
        <v>151751.77500000002</v>
      </c>
      <c r="T57" s="51">
        <f t="shared" si="5"/>
        <v>15175.177500000003</v>
      </c>
      <c r="U57" s="51"/>
      <c r="V57" s="79"/>
      <c r="W57" s="51">
        <f t="shared" si="11"/>
        <v>0</v>
      </c>
      <c r="X57" s="79"/>
      <c r="Y57" s="39"/>
      <c r="Z57" s="51"/>
      <c r="AA57" s="55"/>
      <c r="AB57" s="51"/>
      <c r="AC57" s="51">
        <f t="shared" si="6"/>
        <v>45525.532500000008</v>
      </c>
      <c r="AD57" s="28"/>
      <c r="AE57" s="51"/>
      <c r="AF57" s="51"/>
      <c r="AG57" s="197"/>
      <c r="AH57" s="51"/>
      <c r="AI57" s="51"/>
      <c r="AJ57" s="51"/>
      <c r="AK57" s="51"/>
      <c r="AL57" s="51">
        <f t="shared" si="7"/>
        <v>212452.48500000004</v>
      </c>
      <c r="AM57" s="51">
        <f t="shared" si="8"/>
        <v>2549.4298200000003</v>
      </c>
      <c r="AN57" s="221">
        <f t="shared" si="9"/>
        <v>16</v>
      </c>
    </row>
    <row r="58" spans="1:40" s="2" customFormat="1" ht="38.25">
      <c r="A58" s="63">
        <v>38</v>
      </c>
      <c r="B58" s="65" t="s">
        <v>111</v>
      </c>
      <c r="C58" s="68" t="s">
        <v>165</v>
      </c>
      <c r="D58" s="25" t="s">
        <v>37</v>
      </c>
      <c r="E58" s="28">
        <f t="shared" si="10"/>
        <v>1.125</v>
      </c>
      <c r="F58" s="63" t="s">
        <v>179</v>
      </c>
      <c r="G58" s="25" t="s">
        <v>69</v>
      </c>
      <c r="H58" s="201" t="s">
        <v>440</v>
      </c>
      <c r="I58" s="137">
        <v>4.8600000000000003</v>
      </c>
      <c r="J58" s="51">
        <v>17697</v>
      </c>
      <c r="K58" s="26">
        <v>1.75</v>
      </c>
      <c r="L58" s="51">
        <f t="shared" si="1"/>
        <v>150512.98500000002</v>
      </c>
      <c r="M58" s="27">
        <f t="shared" si="2"/>
        <v>18</v>
      </c>
      <c r="N58" s="63"/>
      <c r="O58" s="51"/>
      <c r="P58" s="76">
        <v>18</v>
      </c>
      <c r="Q58" s="51">
        <f t="shared" si="14"/>
        <v>169327.10812500003</v>
      </c>
      <c r="R58" s="27"/>
      <c r="S58" s="51">
        <f t="shared" si="4"/>
        <v>169327.10812500003</v>
      </c>
      <c r="T58" s="51">
        <f t="shared" si="5"/>
        <v>16932.710812500005</v>
      </c>
      <c r="U58" s="51"/>
      <c r="V58" s="79"/>
      <c r="W58" s="51">
        <f t="shared" si="11"/>
        <v>0</v>
      </c>
      <c r="X58" s="79"/>
      <c r="Y58" s="39"/>
      <c r="Z58" s="51"/>
      <c r="AA58" s="55"/>
      <c r="AB58" s="51"/>
      <c r="AC58" s="51">
        <f t="shared" si="6"/>
        <v>50798.132437500004</v>
      </c>
      <c r="AD58" s="28"/>
      <c r="AE58" s="51"/>
      <c r="AF58" s="51"/>
      <c r="AG58" s="197"/>
      <c r="AH58" s="197">
        <f>S58*35%</f>
        <v>59264.487843750008</v>
      </c>
      <c r="AI58" s="51"/>
      <c r="AJ58" s="51"/>
      <c r="AK58" s="51"/>
      <c r="AL58" s="51">
        <f t="shared" si="7"/>
        <v>296322.43921875005</v>
      </c>
      <c r="AM58" s="51">
        <f t="shared" si="8"/>
        <v>3555.8692706250008</v>
      </c>
      <c r="AN58" s="221">
        <f t="shared" si="9"/>
        <v>18</v>
      </c>
    </row>
    <row r="59" spans="1:40" s="2" customFormat="1" ht="30">
      <c r="A59" s="63">
        <v>39</v>
      </c>
      <c r="B59" s="66" t="s">
        <v>112</v>
      </c>
      <c r="C59" s="68" t="s">
        <v>166</v>
      </c>
      <c r="D59" s="25" t="s">
        <v>37</v>
      </c>
      <c r="E59" s="28">
        <f t="shared" si="10"/>
        <v>1</v>
      </c>
      <c r="F59" s="63" t="s">
        <v>176</v>
      </c>
      <c r="G59" s="25" t="s">
        <v>37</v>
      </c>
      <c r="H59" s="201" t="s">
        <v>359</v>
      </c>
      <c r="I59" s="137">
        <v>5.24</v>
      </c>
      <c r="J59" s="51">
        <v>17697</v>
      </c>
      <c r="K59" s="26">
        <v>1.75</v>
      </c>
      <c r="L59" s="51">
        <f t="shared" si="1"/>
        <v>162281.49000000002</v>
      </c>
      <c r="M59" s="27">
        <f t="shared" si="2"/>
        <v>16</v>
      </c>
      <c r="N59" s="63">
        <v>16</v>
      </c>
      <c r="O59" s="51">
        <f t="shared" si="3"/>
        <v>162281.49000000002</v>
      </c>
      <c r="P59" s="76"/>
      <c r="Q59" s="51"/>
      <c r="R59" s="27"/>
      <c r="S59" s="51">
        <f t="shared" si="4"/>
        <v>162281.49000000002</v>
      </c>
      <c r="T59" s="51">
        <f t="shared" si="5"/>
        <v>16228.149000000003</v>
      </c>
      <c r="U59" s="51"/>
      <c r="V59" s="79"/>
      <c r="W59" s="51">
        <f t="shared" si="11"/>
        <v>0</v>
      </c>
      <c r="X59" s="79"/>
      <c r="Y59" s="39"/>
      <c r="Z59" s="51"/>
      <c r="AA59" s="55">
        <f>3063*10</f>
        <v>30630</v>
      </c>
      <c r="AB59" s="51"/>
      <c r="AC59" s="51">
        <f t="shared" si="6"/>
        <v>48684.447000000007</v>
      </c>
      <c r="AD59" s="28"/>
      <c r="AE59" s="51"/>
      <c r="AF59" s="51"/>
      <c r="AG59" s="197"/>
      <c r="AH59" s="51"/>
      <c r="AI59" s="197"/>
      <c r="AJ59" s="51"/>
      <c r="AK59" s="51">
        <f>S59*50%</f>
        <v>81140.74500000001</v>
      </c>
      <c r="AL59" s="51">
        <f t="shared" si="7"/>
        <v>338964.83100000006</v>
      </c>
      <c r="AM59" s="51">
        <f t="shared" si="8"/>
        <v>4067.577972000001</v>
      </c>
      <c r="AN59" s="221">
        <f t="shared" si="9"/>
        <v>16</v>
      </c>
    </row>
    <row r="60" spans="1:40" s="2" customFormat="1" ht="30">
      <c r="A60" s="63">
        <v>40</v>
      </c>
      <c r="B60" s="66" t="s">
        <v>113</v>
      </c>
      <c r="C60" s="68" t="s">
        <v>166</v>
      </c>
      <c r="D60" s="25" t="s">
        <v>37</v>
      </c>
      <c r="E60" s="28">
        <f t="shared" si="10"/>
        <v>1</v>
      </c>
      <c r="F60" s="63" t="s">
        <v>179</v>
      </c>
      <c r="G60" s="25" t="s">
        <v>69</v>
      </c>
      <c r="H60" s="201" t="s">
        <v>441</v>
      </c>
      <c r="I60" s="137">
        <v>4.6500000000000004</v>
      </c>
      <c r="J60" s="51">
        <v>17697</v>
      </c>
      <c r="K60" s="26">
        <v>1.75</v>
      </c>
      <c r="L60" s="51">
        <f t="shared" si="1"/>
        <v>144009.33750000002</v>
      </c>
      <c r="M60" s="27">
        <f t="shared" si="2"/>
        <v>16</v>
      </c>
      <c r="N60" s="63">
        <v>16</v>
      </c>
      <c r="O60" s="51">
        <f t="shared" si="3"/>
        <v>144009.33750000002</v>
      </c>
      <c r="P60" s="76"/>
      <c r="Q60" s="51"/>
      <c r="R60" s="27"/>
      <c r="S60" s="51">
        <f t="shared" si="4"/>
        <v>144009.33750000002</v>
      </c>
      <c r="T60" s="51">
        <f t="shared" si="5"/>
        <v>14400.933750000004</v>
      </c>
      <c r="U60" s="51"/>
      <c r="V60" s="79"/>
      <c r="W60" s="51">
        <f t="shared" si="11"/>
        <v>0</v>
      </c>
      <c r="X60" s="79"/>
      <c r="Y60" s="39"/>
      <c r="Z60" s="51"/>
      <c r="AA60" s="55"/>
      <c r="AB60" s="51"/>
      <c r="AC60" s="51">
        <f t="shared" si="6"/>
        <v>43202.801250000004</v>
      </c>
      <c r="AD60" s="28"/>
      <c r="AE60" s="51"/>
      <c r="AF60" s="51"/>
      <c r="AG60" s="197"/>
      <c r="AH60" s="197">
        <f>S60*35%</f>
        <v>50403.268125000002</v>
      </c>
      <c r="AI60" s="51"/>
      <c r="AJ60" s="51"/>
      <c r="AK60" s="51"/>
      <c r="AL60" s="51">
        <f t="shared" si="7"/>
        <v>252016.34062500004</v>
      </c>
      <c r="AM60" s="51">
        <f t="shared" si="8"/>
        <v>3024.1960875000004</v>
      </c>
      <c r="AN60" s="221">
        <f t="shared" si="9"/>
        <v>16</v>
      </c>
    </row>
    <row r="61" spans="1:40" s="2" customFormat="1" ht="38.25">
      <c r="A61" s="63">
        <v>41</v>
      </c>
      <c r="B61" s="66" t="s">
        <v>114</v>
      </c>
      <c r="C61" s="68" t="s">
        <v>143</v>
      </c>
      <c r="D61" s="25" t="s">
        <v>37</v>
      </c>
      <c r="E61" s="28">
        <f t="shared" si="10"/>
        <v>1</v>
      </c>
      <c r="F61" s="63" t="s">
        <v>179</v>
      </c>
      <c r="G61" s="25" t="s">
        <v>69</v>
      </c>
      <c r="H61" s="201" t="s">
        <v>442</v>
      </c>
      <c r="I61" s="139">
        <v>4.79</v>
      </c>
      <c r="J61" s="51">
        <v>17697</v>
      </c>
      <c r="K61" s="26">
        <v>1.75</v>
      </c>
      <c r="L61" s="51">
        <f t="shared" si="1"/>
        <v>148345.10250000001</v>
      </c>
      <c r="M61" s="27">
        <f t="shared" si="2"/>
        <v>16</v>
      </c>
      <c r="N61" s="63"/>
      <c r="O61" s="51"/>
      <c r="P61" s="76">
        <v>16</v>
      </c>
      <c r="Q61" s="51">
        <f t="shared" si="14"/>
        <v>148345.10250000001</v>
      </c>
      <c r="R61" s="27"/>
      <c r="S61" s="51">
        <f t="shared" si="4"/>
        <v>148345.10250000001</v>
      </c>
      <c r="T61" s="51">
        <f t="shared" si="5"/>
        <v>14834.510250000001</v>
      </c>
      <c r="U61" s="51"/>
      <c r="V61" s="79"/>
      <c r="W61" s="51">
        <f t="shared" si="11"/>
        <v>0</v>
      </c>
      <c r="X61" s="79">
        <v>11</v>
      </c>
      <c r="Y61" s="39">
        <v>0.5</v>
      </c>
      <c r="Z61" s="51">
        <f t="shared" si="12"/>
        <v>6083.34375</v>
      </c>
      <c r="AA61" s="55"/>
      <c r="AB61" s="51"/>
      <c r="AC61" s="51">
        <f t="shared" si="6"/>
        <v>44503.530749999998</v>
      </c>
      <c r="AD61" s="28">
        <v>16</v>
      </c>
      <c r="AE61" s="51">
        <f t="shared" si="13"/>
        <v>7078.8</v>
      </c>
      <c r="AF61" s="51"/>
      <c r="AG61" s="197"/>
      <c r="AH61" s="197">
        <f>S61*35%</f>
        <v>51920.785875000001</v>
      </c>
      <c r="AI61" s="51"/>
      <c r="AJ61" s="51"/>
      <c r="AK61" s="51"/>
      <c r="AL61" s="51">
        <f t="shared" si="7"/>
        <v>272766.073125</v>
      </c>
      <c r="AM61" s="51">
        <f t="shared" si="8"/>
        <v>3273.1928775000001</v>
      </c>
      <c r="AN61" s="221">
        <f t="shared" si="9"/>
        <v>5</v>
      </c>
    </row>
    <row r="62" spans="1:40" s="2" customFormat="1" ht="38.25">
      <c r="A62" s="63">
        <v>42</v>
      </c>
      <c r="B62" s="73" t="s">
        <v>115</v>
      </c>
      <c r="C62" s="68" t="s">
        <v>143</v>
      </c>
      <c r="D62" s="25" t="s">
        <v>37</v>
      </c>
      <c r="E62" s="28">
        <f t="shared" si="10"/>
        <v>1</v>
      </c>
      <c r="F62" s="63" t="s">
        <v>181</v>
      </c>
      <c r="G62" s="25" t="s">
        <v>70</v>
      </c>
      <c r="H62" s="201" t="s">
        <v>443</v>
      </c>
      <c r="I62" s="139">
        <v>4.74</v>
      </c>
      <c r="J62" s="51">
        <v>17697</v>
      </c>
      <c r="K62" s="26">
        <v>1.75</v>
      </c>
      <c r="L62" s="51">
        <f t="shared" si="1"/>
        <v>146796.61500000002</v>
      </c>
      <c r="M62" s="27">
        <f t="shared" si="2"/>
        <v>16</v>
      </c>
      <c r="N62" s="63">
        <v>12</v>
      </c>
      <c r="O62" s="51">
        <f t="shared" si="3"/>
        <v>110097.46125000002</v>
      </c>
      <c r="P62" s="76">
        <v>4</v>
      </c>
      <c r="Q62" s="51">
        <f t="shared" si="14"/>
        <v>36699.153750000005</v>
      </c>
      <c r="R62" s="27"/>
      <c r="S62" s="51">
        <f t="shared" si="4"/>
        <v>146796.61500000002</v>
      </c>
      <c r="T62" s="51">
        <f t="shared" si="5"/>
        <v>14679.661500000002</v>
      </c>
      <c r="U62" s="51"/>
      <c r="V62" s="79"/>
      <c r="W62" s="51">
        <f t="shared" si="11"/>
        <v>0</v>
      </c>
      <c r="X62" s="79"/>
      <c r="Y62" s="39"/>
      <c r="Z62" s="51"/>
      <c r="AA62" s="55"/>
      <c r="AB62" s="51"/>
      <c r="AC62" s="51">
        <f t="shared" si="6"/>
        <v>44038.984500000006</v>
      </c>
      <c r="AD62" s="28">
        <v>16</v>
      </c>
      <c r="AE62" s="51">
        <f t="shared" si="13"/>
        <v>7078.8</v>
      </c>
      <c r="AF62" s="51"/>
      <c r="AG62" s="197">
        <f>S62*30%</f>
        <v>44038.984500000006</v>
      </c>
      <c r="AH62" s="51"/>
      <c r="AI62" s="51"/>
      <c r="AJ62" s="51"/>
      <c r="AK62" s="51"/>
      <c r="AL62" s="51">
        <f t="shared" si="7"/>
        <v>256633.04550000004</v>
      </c>
      <c r="AM62" s="51">
        <f t="shared" si="8"/>
        <v>3079.5965460000007</v>
      </c>
      <c r="AN62" s="221">
        <f t="shared" si="9"/>
        <v>16</v>
      </c>
    </row>
    <row r="63" spans="1:40" s="2" customFormat="1" ht="38.25">
      <c r="A63" s="63">
        <v>43</v>
      </c>
      <c r="B63" s="65" t="s">
        <v>116</v>
      </c>
      <c r="C63" s="68" t="s">
        <v>165</v>
      </c>
      <c r="D63" s="25" t="s">
        <v>37</v>
      </c>
      <c r="E63" s="28">
        <f t="shared" si="10"/>
        <v>0.375</v>
      </c>
      <c r="F63" s="63" t="s">
        <v>181</v>
      </c>
      <c r="G63" s="25" t="s">
        <v>70</v>
      </c>
      <c r="H63" s="201" t="s">
        <v>378</v>
      </c>
      <c r="I63" s="137">
        <v>4.74</v>
      </c>
      <c r="J63" s="51">
        <v>17697</v>
      </c>
      <c r="K63" s="26">
        <v>1.75</v>
      </c>
      <c r="L63" s="51">
        <f t="shared" si="1"/>
        <v>146796.61500000002</v>
      </c>
      <c r="M63" s="27">
        <f t="shared" si="2"/>
        <v>6</v>
      </c>
      <c r="N63" s="63"/>
      <c r="O63" s="51"/>
      <c r="P63" s="76">
        <v>6</v>
      </c>
      <c r="Q63" s="51">
        <f t="shared" si="14"/>
        <v>55048.730625000011</v>
      </c>
      <c r="R63" s="27"/>
      <c r="S63" s="51">
        <f t="shared" si="4"/>
        <v>55048.730625000011</v>
      </c>
      <c r="T63" s="51">
        <f t="shared" si="5"/>
        <v>5504.8730625000017</v>
      </c>
      <c r="U63" s="51"/>
      <c r="V63" s="79"/>
      <c r="W63" s="51">
        <f t="shared" si="11"/>
        <v>0</v>
      </c>
      <c r="X63" s="79"/>
      <c r="Y63" s="39"/>
      <c r="Z63" s="51"/>
      <c r="AA63" s="55"/>
      <c r="AB63" s="51"/>
      <c r="AC63" s="51">
        <f t="shared" si="6"/>
        <v>16514.619187500004</v>
      </c>
      <c r="AD63" s="28"/>
      <c r="AE63" s="51"/>
      <c r="AF63" s="51"/>
      <c r="AG63" s="197"/>
      <c r="AH63" s="51"/>
      <c r="AI63" s="51"/>
      <c r="AJ63" s="51"/>
      <c r="AK63" s="51"/>
      <c r="AL63" s="51">
        <f t="shared" si="7"/>
        <v>77068.222875000021</v>
      </c>
      <c r="AM63" s="51">
        <f t="shared" si="8"/>
        <v>924.81867450000016</v>
      </c>
      <c r="AN63" s="221">
        <f t="shared" si="9"/>
        <v>6</v>
      </c>
    </row>
    <row r="64" spans="1:40" s="2" customFormat="1" ht="38.25">
      <c r="A64" s="63">
        <v>44</v>
      </c>
      <c r="B64" s="74" t="s">
        <v>117</v>
      </c>
      <c r="C64" s="68" t="s">
        <v>159</v>
      </c>
      <c r="D64" s="25" t="s">
        <v>37</v>
      </c>
      <c r="E64" s="28">
        <f t="shared" si="10"/>
        <v>1</v>
      </c>
      <c r="F64" s="63" t="s">
        <v>181</v>
      </c>
      <c r="G64" s="25" t="s">
        <v>70</v>
      </c>
      <c r="H64" s="201" t="s">
        <v>444</v>
      </c>
      <c r="I64" s="137">
        <v>4.66</v>
      </c>
      <c r="J64" s="51">
        <v>17697</v>
      </c>
      <c r="K64" s="26">
        <v>1.75</v>
      </c>
      <c r="L64" s="51">
        <f t="shared" si="1"/>
        <v>144319.035</v>
      </c>
      <c r="M64" s="27">
        <f t="shared" si="2"/>
        <v>16</v>
      </c>
      <c r="N64" s="63">
        <v>16</v>
      </c>
      <c r="O64" s="51">
        <f t="shared" si="3"/>
        <v>144319.035</v>
      </c>
      <c r="P64" s="76"/>
      <c r="Q64" s="51"/>
      <c r="R64" s="27"/>
      <c r="S64" s="51">
        <f t="shared" si="4"/>
        <v>144319.035</v>
      </c>
      <c r="T64" s="51">
        <f t="shared" si="5"/>
        <v>14431.9035</v>
      </c>
      <c r="U64" s="51"/>
      <c r="V64" s="79"/>
      <c r="W64" s="51">
        <f t="shared" si="11"/>
        <v>0</v>
      </c>
      <c r="X64" s="79">
        <v>16</v>
      </c>
      <c r="Y64" s="39">
        <v>0.25</v>
      </c>
      <c r="Z64" s="51">
        <f t="shared" si="12"/>
        <v>4424.25</v>
      </c>
      <c r="AA64" s="55">
        <f>3063*10</f>
        <v>30630</v>
      </c>
      <c r="AB64" s="51"/>
      <c r="AC64" s="51">
        <f t="shared" si="6"/>
        <v>43295.710500000001</v>
      </c>
      <c r="AD64" s="28">
        <v>16</v>
      </c>
      <c r="AE64" s="51">
        <f t="shared" si="13"/>
        <v>7078.8</v>
      </c>
      <c r="AF64" s="51"/>
      <c r="AG64" s="197">
        <f>+O64*30%</f>
        <v>43295.710500000001</v>
      </c>
      <c r="AH64" s="51"/>
      <c r="AI64" s="51"/>
      <c r="AJ64" s="51"/>
      <c r="AK64" s="51"/>
      <c r="AL64" s="51">
        <f t="shared" si="7"/>
        <v>287475.40950000001</v>
      </c>
      <c r="AM64" s="51">
        <f t="shared" si="8"/>
        <v>3449.7049139999999</v>
      </c>
      <c r="AN64" s="221">
        <f t="shared" si="9"/>
        <v>0</v>
      </c>
    </row>
    <row r="65" spans="1:40" s="2" customFormat="1" ht="30">
      <c r="A65" s="63">
        <v>45</v>
      </c>
      <c r="B65" s="66" t="s">
        <v>118</v>
      </c>
      <c r="C65" s="68" t="s">
        <v>163</v>
      </c>
      <c r="D65" s="25" t="s">
        <v>37</v>
      </c>
      <c r="E65" s="28">
        <f t="shared" si="10"/>
        <v>0.9375</v>
      </c>
      <c r="F65" s="63" t="s">
        <v>180</v>
      </c>
      <c r="G65" s="25"/>
      <c r="H65" s="201" t="s">
        <v>392</v>
      </c>
      <c r="I65" s="137">
        <v>4.59</v>
      </c>
      <c r="J65" s="51">
        <v>17697</v>
      </c>
      <c r="K65" s="26">
        <v>1.75</v>
      </c>
      <c r="L65" s="51">
        <f t="shared" si="1"/>
        <v>142151.1525</v>
      </c>
      <c r="M65" s="27">
        <f t="shared" si="2"/>
        <v>15</v>
      </c>
      <c r="N65" s="63"/>
      <c r="O65" s="51"/>
      <c r="P65" s="76">
        <v>15</v>
      </c>
      <c r="Q65" s="51">
        <f t="shared" si="14"/>
        <v>133266.70546875001</v>
      </c>
      <c r="R65" s="27"/>
      <c r="S65" s="51">
        <f t="shared" si="4"/>
        <v>133266.70546875001</v>
      </c>
      <c r="T65" s="51">
        <f t="shared" si="5"/>
        <v>13326.670546875001</v>
      </c>
      <c r="U65" s="51"/>
      <c r="V65" s="79"/>
      <c r="W65" s="51">
        <f t="shared" si="11"/>
        <v>0</v>
      </c>
      <c r="X65" s="79"/>
      <c r="Y65" s="39"/>
      <c r="Z65" s="51"/>
      <c r="AA65" s="55"/>
      <c r="AB65" s="51"/>
      <c r="AC65" s="51">
        <f t="shared" si="6"/>
        <v>39980.011640625002</v>
      </c>
      <c r="AD65" s="28"/>
      <c r="AE65" s="51"/>
      <c r="AF65" s="51"/>
      <c r="AG65" s="197"/>
      <c r="AH65" s="51"/>
      <c r="AI65" s="51"/>
      <c r="AJ65" s="51"/>
      <c r="AK65" s="51"/>
      <c r="AL65" s="51">
        <f t="shared" si="7"/>
        <v>186573.38765625001</v>
      </c>
      <c r="AM65" s="51">
        <f t="shared" si="8"/>
        <v>2238.8806518749998</v>
      </c>
      <c r="AN65" s="221">
        <f t="shared" si="9"/>
        <v>15</v>
      </c>
    </row>
    <row r="66" spans="1:40" s="2" customFormat="1" ht="38.25">
      <c r="A66" s="63">
        <v>46</v>
      </c>
      <c r="B66" s="66" t="s">
        <v>119</v>
      </c>
      <c r="C66" s="68" t="s">
        <v>165</v>
      </c>
      <c r="D66" s="25" t="s">
        <v>37</v>
      </c>
      <c r="E66" s="28">
        <f t="shared" si="10"/>
        <v>1.125</v>
      </c>
      <c r="F66" s="63" t="s">
        <v>181</v>
      </c>
      <c r="G66" s="25" t="s">
        <v>70</v>
      </c>
      <c r="H66" s="201" t="s">
        <v>445</v>
      </c>
      <c r="I66" s="137">
        <v>4.59</v>
      </c>
      <c r="J66" s="51">
        <v>17697</v>
      </c>
      <c r="K66" s="26">
        <v>1.75</v>
      </c>
      <c r="L66" s="51">
        <f t="shared" si="1"/>
        <v>142151.1525</v>
      </c>
      <c r="M66" s="27">
        <f t="shared" si="2"/>
        <v>18</v>
      </c>
      <c r="N66" s="63">
        <v>18</v>
      </c>
      <c r="O66" s="51">
        <f t="shared" si="3"/>
        <v>159920.04656250001</v>
      </c>
      <c r="P66" s="76"/>
      <c r="Q66" s="51"/>
      <c r="R66" s="27"/>
      <c r="S66" s="51">
        <f t="shared" si="4"/>
        <v>159920.04656250001</v>
      </c>
      <c r="T66" s="51">
        <f t="shared" si="5"/>
        <v>15992.004656250001</v>
      </c>
      <c r="U66" s="51"/>
      <c r="V66" s="79"/>
      <c r="W66" s="51">
        <f t="shared" si="11"/>
        <v>0</v>
      </c>
      <c r="X66" s="79"/>
      <c r="Y66" s="39"/>
      <c r="Z66" s="51"/>
      <c r="AA66" s="55"/>
      <c r="AB66" s="51"/>
      <c r="AC66" s="51">
        <f t="shared" si="6"/>
        <v>47976.013968749998</v>
      </c>
      <c r="AD66" s="28"/>
      <c r="AE66" s="51"/>
      <c r="AF66" s="51"/>
      <c r="AG66" s="197"/>
      <c r="AH66" s="51"/>
      <c r="AI66" s="51"/>
      <c r="AJ66" s="51"/>
      <c r="AK66" s="51"/>
      <c r="AL66" s="51">
        <f t="shared" si="7"/>
        <v>223888.0651875</v>
      </c>
      <c r="AM66" s="51">
        <f t="shared" si="8"/>
        <v>2686.6567822500001</v>
      </c>
      <c r="AN66" s="221">
        <f t="shared" si="9"/>
        <v>18</v>
      </c>
    </row>
    <row r="67" spans="1:40" s="2" customFormat="1" ht="38.25">
      <c r="A67" s="63">
        <v>47</v>
      </c>
      <c r="B67" s="66" t="s">
        <v>120</v>
      </c>
      <c r="C67" s="68" t="s">
        <v>158</v>
      </c>
      <c r="D67" s="25" t="s">
        <v>37</v>
      </c>
      <c r="E67" s="28">
        <f t="shared" si="10"/>
        <v>1</v>
      </c>
      <c r="F67" s="63" t="s">
        <v>179</v>
      </c>
      <c r="G67" s="25" t="s">
        <v>69</v>
      </c>
      <c r="H67" s="201" t="s">
        <v>446</v>
      </c>
      <c r="I67" s="137">
        <v>4.6500000000000004</v>
      </c>
      <c r="J67" s="51">
        <v>17697</v>
      </c>
      <c r="K67" s="26">
        <v>1.75</v>
      </c>
      <c r="L67" s="51">
        <f t="shared" si="1"/>
        <v>144009.33750000002</v>
      </c>
      <c r="M67" s="27">
        <f t="shared" si="2"/>
        <v>16</v>
      </c>
      <c r="N67" s="63">
        <v>16</v>
      </c>
      <c r="O67" s="51">
        <f t="shared" si="3"/>
        <v>144009.33750000002</v>
      </c>
      <c r="P67" s="76"/>
      <c r="Q67" s="51"/>
      <c r="R67" s="27"/>
      <c r="S67" s="51">
        <f t="shared" si="4"/>
        <v>144009.33750000002</v>
      </c>
      <c r="T67" s="51">
        <f t="shared" si="5"/>
        <v>14400.933750000004</v>
      </c>
      <c r="U67" s="51"/>
      <c r="V67" s="79"/>
      <c r="W67" s="51">
        <f t="shared" si="11"/>
        <v>0</v>
      </c>
      <c r="X67" s="79"/>
      <c r="Y67" s="39"/>
      <c r="Z67" s="51"/>
      <c r="AA67" s="55"/>
      <c r="AB67" s="51"/>
      <c r="AC67" s="51">
        <f t="shared" si="6"/>
        <v>43202.801250000004</v>
      </c>
      <c r="AD67" s="28"/>
      <c r="AE67" s="51"/>
      <c r="AF67" s="51"/>
      <c r="AG67" s="197"/>
      <c r="AH67" s="197">
        <f>S67*35%</f>
        <v>50403.268125000002</v>
      </c>
      <c r="AI67" s="51"/>
      <c r="AJ67" s="51"/>
      <c r="AK67" s="51"/>
      <c r="AL67" s="51">
        <f t="shared" si="7"/>
        <v>252016.34062500004</v>
      </c>
      <c r="AM67" s="51">
        <f t="shared" si="8"/>
        <v>3024.1960875000004</v>
      </c>
      <c r="AN67" s="221">
        <f t="shared" si="9"/>
        <v>16</v>
      </c>
    </row>
    <row r="68" spans="1:40" s="2" customFormat="1" ht="30">
      <c r="A68" s="63">
        <v>48</v>
      </c>
      <c r="B68" s="65" t="s">
        <v>121</v>
      </c>
      <c r="C68" s="68" t="s">
        <v>160</v>
      </c>
      <c r="D68" s="25" t="s">
        <v>37</v>
      </c>
      <c r="E68" s="28">
        <f t="shared" si="10"/>
        <v>0.5</v>
      </c>
      <c r="F68" s="63" t="s">
        <v>180</v>
      </c>
      <c r="G68" s="25"/>
      <c r="H68" s="201" t="s">
        <v>358</v>
      </c>
      <c r="I68" s="137">
        <v>4.0999999999999996</v>
      </c>
      <c r="J68" s="51">
        <v>17697</v>
      </c>
      <c r="K68" s="26">
        <v>1.75</v>
      </c>
      <c r="L68" s="51">
        <f t="shared" si="1"/>
        <v>126975.97499999999</v>
      </c>
      <c r="M68" s="27">
        <f t="shared" si="2"/>
        <v>8</v>
      </c>
      <c r="N68" s="63">
        <v>8</v>
      </c>
      <c r="O68" s="51">
        <f t="shared" si="3"/>
        <v>63487.987499999996</v>
      </c>
      <c r="P68" s="76"/>
      <c r="Q68" s="51"/>
      <c r="R68" s="27"/>
      <c r="S68" s="51">
        <f t="shared" si="4"/>
        <v>63487.987499999996</v>
      </c>
      <c r="T68" s="51">
        <f t="shared" si="5"/>
        <v>6348.7987499999999</v>
      </c>
      <c r="U68" s="51"/>
      <c r="V68" s="79"/>
      <c r="W68" s="51">
        <f t="shared" si="11"/>
        <v>0</v>
      </c>
      <c r="X68" s="79">
        <v>4</v>
      </c>
      <c r="Y68" s="39">
        <v>0.5</v>
      </c>
      <c r="Z68" s="51">
        <f t="shared" si="12"/>
        <v>2212.125</v>
      </c>
      <c r="AA68" s="55"/>
      <c r="AB68" s="51"/>
      <c r="AC68" s="51">
        <f t="shared" si="6"/>
        <v>19046.396249999998</v>
      </c>
      <c r="AD68" s="28">
        <v>8</v>
      </c>
      <c r="AE68" s="51">
        <f t="shared" si="13"/>
        <v>3539.4</v>
      </c>
      <c r="AF68" s="51"/>
      <c r="AG68" s="197"/>
      <c r="AH68" s="51"/>
      <c r="AI68" s="51"/>
      <c r="AJ68" s="51"/>
      <c r="AK68" s="51"/>
      <c r="AL68" s="51">
        <f t="shared" si="7"/>
        <v>94634.70749999999</v>
      </c>
      <c r="AM68" s="51">
        <f t="shared" si="8"/>
        <v>1135.6164899999997</v>
      </c>
      <c r="AN68" s="221">
        <f t="shared" si="9"/>
        <v>4</v>
      </c>
    </row>
    <row r="69" spans="1:40" s="2" customFormat="1" ht="38.25">
      <c r="A69" s="63">
        <v>49</v>
      </c>
      <c r="B69" s="65" t="s">
        <v>122</v>
      </c>
      <c r="C69" s="68" t="s">
        <v>158</v>
      </c>
      <c r="D69" s="25" t="s">
        <v>37</v>
      </c>
      <c r="E69" s="28">
        <f t="shared" si="10"/>
        <v>1.0625</v>
      </c>
      <c r="F69" s="63" t="s">
        <v>181</v>
      </c>
      <c r="G69" s="25" t="s">
        <v>70</v>
      </c>
      <c r="H69" s="201" t="s">
        <v>447</v>
      </c>
      <c r="I69" s="137">
        <v>4.8099999999999996</v>
      </c>
      <c r="J69" s="51">
        <v>17697</v>
      </c>
      <c r="K69" s="26">
        <v>1.75</v>
      </c>
      <c r="L69" s="51">
        <f t="shared" si="1"/>
        <v>148964.4975</v>
      </c>
      <c r="M69" s="27">
        <f t="shared" si="2"/>
        <v>17</v>
      </c>
      <c r="N69" s="63">
        <v>17</v>
      </c>
      <c r="O69" s="51">
        <f t="shared" si="3"/>
        <v>158274.77859375</v>
      </c>
      <c r="P69" s="76"/>
      <c r="Q69" s="51"/>
      <c r="R69" s="27"/>
      <c r="S69" s="51">
        <f t="shared" si="4"/>
        <v>158274.77859375</v>
      </c>
      <c r="T69" s="51">
        <f t="shared" si="5"/>
        <v>15827.477859375002</v>
      </c>
      <c r="U69" s="51"/>
      <c r="V69" s="79"/>
      <c r="W69" s="51">
        <f t="shared" si="11"/>
        <v>0</v>
      </c>
      <c r="X69" s="79"/>
      <c r="Y69" s="39"/>
      <c r="Z69" s="51"/>
      <c r="AA69" s="55"/>
      <c r="AB69" s="51"/>
      <c r="AC69" s="51">
        <f t="shared" si="6"/>
        <v>47482.433578124997</v>
      </c>
      <c r="AD69" s="28">
        <v>17</v>
      </c>
      <c r="AE69" s="51">
        <f t="shared" si="13"/>
        <v>7521.2250000000004</v>
      </c>
      <c r="AF69" s="51">
        <f>SUM(J69*0.2)</f>
        <v>3539.4</v>
      </c>
      <c r="AG69" s="197">
        <f>S69*30%</f>
        <v>47482.433578124997</v>
      </c>
      <c r="AH69" s="51"/>
      <c r="AI69" s="51"/>
      <c r="AJ69" s="51"/>
      <c r="AK69" s="51"/>
      <c r="AL69" s="51">
        <f t="shared" si="7"/>
        <v>280127.74860937498</v>
      </c>
      <c r="AM69" s="51">
        <f t="shared" si="8"/>
        <v>3361.5329833124997</v>
      </c>
      <c r="AN69" s="221">
        <f t="shared" si="9"/>
        <v>17</v>
      </c>
    </row>
    <row r="70" spans="1:40" s="2" customFormat="1" ht="38.25">
      <c r="A70" s="63">
        <v>50</v>
      </c>
      <c r="B70" s="65" t="s">
        <v>123</v>
      </c>
      <c r="C70" s="68" t="s">
        <v>158</v>
      </c>
      <c r="D70" s="25" t="s">
        <v>37</v>
      </c>
      <c r="E70" s="28">
        <f t="shared" si="10"/>
        <v>1.125</v>
      </c>
      <c r="F70" s="63" t="s">
        <v>181</v>
      </c>
      <c r="G70" s="25" t="s">
        <v>70</v>
      </c>
      <c r="H70" s="201" t="s">
        <v>385</v>
      </c>
      <c r="I70" s="137">
        <v>4.74</v>
      </c>
      <c r="J70" s="51">
        <v>17697</v>
      </c>
      <c r="K70" s="26">
        <v>1.75</v>
      </c>
      <c r="L70" s="51">
        <f t="shared" si="1"/>
        <v>146796.61500000002</v>
      </c>
      <c r="M70" s="27">
        <f t="shared" si="2"/>
        <v>18</v>
      </c>
      <c r="N70" s="63"/>
      <c r="O70" s="51"/>
      <c r="P70" s="76">
        <v>18</v>
      </c>
      <c r="Q70" s="51">
        <f t="shared" si="14"/>
        <v>165146.19187500002</v>
      </c>
      <c r="R70" s="27"/>
      <c r="S70" s="51">
        <f t="shared" si="4"/>
        <v>165146.19187500002</v>
      </c>
      <c r="T70" s="51">
        <f t="shared" si="5"/>
        <v>16514.619187500004</v>
      </c>
      <c r="U70" s="51"/>
      <c r="V70" s="79"/>
      <c r="W70" s="51">
        <f t="shared" si="11"/>
        <v>0</v>
      </c>
      <c r="X70" s="79"/>
      <c r="Y70" s="39"/>
      <c r="Z70" s="51"/>
      <c r="AA70" s="55"/>
      <c r="AB70" s="51"/>
      <c r="AC70" s="51">
        <f t="shared" si="6"/>
        <v>49543.857562500001</v>
      </c>
      <c r="AD70" s="28">
        <v>18</v>
      </c>
      <c r="AE70" s="51">
        <f t="shared" si="13"/>
        <v>7963.6500000000005</v>
      </c>
      <c r="AF70" s="51"/>
      <c r="AG70" s="197">
        <f>S70*30%</f>
        <v>49543.857562500001</v>
      </c>
      <c r="AH70" s="51"/>
      <c r="AI70" s="51"/>
      <c r="AJ70" s="51"/>
      <c r="AK70" s="51"/>
      <c r="AL70" s="51">
        <f t="shared" si="7"/>
        <v>288712.17618750001</v>
      </c>
      <c r="AM70" s="51">
        <f t="shared" si="8"/>
        <v>3464.5461142500003</v>
      </c>
      <c r="AN70" s="221">
        <f t="shared" si="9"/>
        <v>18</v>
      </c>
    </row>
    <row r="71" spans="1:40" s="2" customFormat="1" ht="38.25">
      <c r="A71" s="63">
        <v>51</v>
      </c>
      <c r="B71" s="67" t="s">
        <v>124</v>
      </c>
      <c r="C71" s="68" t="s">
        <v>158</v>
      </c>
      <c r="D71" s="25" t="s">
        <v>37</v>
      </c>
      <c r="E71" s="28">
        <f t="shared" si="10"/>
        <v>0.5</v>
      </c>
      <c r="F71" s="63" t="s">
        <v>181</v>
      </c>
      <c r="G71" s="25" t="s">
        <v>70</v>
      </c>
      <c r="H71" s="201" t="s">
        <v>369</v>
      </c>
      <c r="I71" s="137">
        <v>4.51</v>
      </c>
      <c r="J71" s="51">
        <v>17697</v>
      </c>
      <c r="K71" s="26">
        <v>1.75</v>
      </c>
      <c r="L71" s="51">
        <f t="shared" si="1"/>
        <v>139673.57249999998</v>
      </c>
      <c r="M71" s="27">
        <f t="shared" si="2"/>
        <v>8</v>
      </c>
      <c r="N71" s="63">
        <v>8</v>
      </c>
      <c r="O71" s="51">
        <f t="shared" si="3"/>
        <v>69836.78624999999</v>
      </c>
      <c r="P71" s="76"/>
      <c r="Q71" s="51"/>
      <c r="R71" s="27"/>
      <c r="S71" s="51">
        <f t="shared" si="4"/>
        <v>69836.78624999999</v>
      </c>
      <c r="T71" s="51">
        <f t="shared" si="5"/>
        <v>6983.6786249999996</v>
      </c>
      <c r="U71" s="51"/>
      <c r="V71" s="79"/>
      <c r="W71" s="51">
        <f t="shared" si="11"/>
        <v>0</v>
      </c>
      <c r="X71" s="79"/>
      <c r="Y71" s="39"/>
      <c r="Z71" s="51"/>
      <c r="AA71" s="55"/>
      <c r="AB71" s="51">
        <f>SUM(J71*2)</f>
        <v>35394</v>
      </c>
      <c r="AC71" s="51">
        <f t="shared" si="6"/>
        <v>20951.035874999998</v>
      </c>
      <c r="AD71" s="28">
        <v>8</v>
      </c>
      <c r="AE71" s="51">
        <f t="shared" si="13"/>
        <v>3539.4</v>
      </c>
      <c r="AF71" s="51"/>
      <c r="AG71" s="197">
        <f>+O71*30%</f>
        <v>20951.035874999998</v>
      </c>
      <c r="AH71" s="51"/>
      <c r="AI71" s="51"/>
      <c r="AJ71" s="51"/>
      <c r="AK71" s="51"/>
      <c r="AL71" s="51">
        <f t="shared" si="7"/>
        <v>157655.93662499997</v>
      </c>
      <c r="AM71" s="51">
        <f t="shared" si="8"/>
        <v>1891.8712394999998</v>
      </c>
      <c r="AN71" s="221">
        <f t="shared" si="9"/>
        <v>8</v>
      </c>
    </row>
    <row r="72" spans="1:40" s="2" customFormat="1" ht="38.25">
      <c r="A72" s="63">
        <v>52</v>
      </c>
      <c r="B72" s="65" t="s">
        <v>125</v>
      </c>
      <c r="C72" s="68" t="s">
        <v>167</v>
      </c>
      <c r="D72" s="25" t="s">
        <v>37</v>
      </c>
      <c r="E72" s="28">
        <f t="shared" si="10"/>
        <v>1</v>
      </c>
      <c r="F72" s="63" t="s">
        <v>181</v>
      </c>
      <c r="G72" s="25" t="s">
        <v>70</v>
      </c>
      <c r="H72" s="208" t="s">
        <v>448</v>
      </c>
      <c r="I72" s="140">
        <v>4.4400000000000004</v>
      </c>
      <c r="J72" s="51">
        <v>17697</v>
      </c>
      <c r="K72" s="26">
        <v>1.75</v>
      </c>
      <c r="L72" s="51">
        <f t="shared" si="1"/>
        <v>137505.69</v>
      </c>
      <c r="M72" s="27">
        <f t="shared" si="2"/>
        <v>16</v>
      </c>
      <c r="N72" s="63">
        <v>16</v>
      </c>
      <c r="O72" s="51">
        <f t="shared" si="3"/>
        <v>137505.69</v>
      </c>
      <c r="P72" s="76"/>
      <c r="Q72" s="51"/>
      <c r="R72" s="27"/>
      <c r="S72" s="51">
        <f t="shared" si="4"/>
        <v>137505.69</v>
      </c>
      <c r="T72" s="51">
        <f t="shared" si="5"/>
        <v>13750.569000000001</v>
      </c>
      <c r="U72" s="51"/>
      <c r="V72" s="79"/>
      <c r="W72" s="51">
        <f t="shared" si="11"/>
        <v>0</v>
      </c>
      <c r="X72" s="79">
        <v>16</v>
      </c>
      <c r="Y72" s="39">
        <v>0.5</v>
      </c>
      <c r="Z72" s="51">
        <f t="shared" si="12"/>
        <v>8848.5</v>
      </c>
      <c r="AA72" s="55"/>
      <c r="AB72" s="51"/>
      <c r="AC72" s="51">
        <f t="shared" si="6"/>
        <v>41251.707000000002</v>
      </c>
      <c r="AD72" s="28">
        <v>16</v>
      </c>
      <c r="AE72" s="51">
        <f t="shared" si="13"/>
        <v>7078.8</v>
      </c>
      <c r="AF72" s="51"/>
      <c r="AG72" s="197">
        <f>+O72*30%</f>
        <v>41251.707000000002</v>
      </c>
      <c r="AH72" s="51"/>
      <c r="AI72" s="51"/>
      <c r="AJ72" s="51"/>
      <c r="AK72" s="51"/>
      <c r="AL72" s="51">
        <f t="shared" si="7"/>
        <v>249686.973</v>
      </c>
      <c r="AM72" s="51">
        <f t="shared" si="8"/>
        <v>2996.2436760000001</v>
      </c>
      <c r="AN72" s="221">
        <f t="shared" si="9"/>
        <v>0</v>
      </c>
    </row>
    <row r="73" spans="1:40" s="2" customFormat="1" ht="51">
      <c r="A73" s="63">
        <v>53</v>
      </c>
      <c r="B73" s="68" t="s">
        <v>126</v>
      </c>
      <c r="C73" s="68" t="s">
        <v>168</v>
      </c>
      <c r="D73" s="25" t="s">
        <v>37</v>
      </c>
      <c r="E73" s="28">
        <f t="shared" si="10"/>
        <v>1</v>
      </c>
      <c r="F73" s="63" t="s">
        <v>176</v>
      </c>
      <c r="G73" s="25" t="s">
        <v>37</v>
      </c>
      <c r="H73" s="208" t="s">
        <v>449</v>
      </c>
      <c r="I73" s="140">
        <v>5.24</v>
      </c>
      <c r="J73" s="51">
        <v>17697</v>
      </c>
      <c r="K73" s="26">
        <v>1.75</v>
      </c>
      <c r="L73" s="51">
        <f t="shared" si="1"/>
        <v>162281.49000000002</v>
      </c>
      <c r="M73" s="27">
        <f t="shared" si="2"/>
        <v>16</v>
      </c>
      <c r="N73" s="63">
        <v>16</v>
      </c>
      <c r="O73" s="51">
        <f t="shared" si="3"/>
        <v>162281.49000000002</v>
      </c>
      <c r="P73" s="76"/>
      <c r="Q73" s="51"/>
      <c r="R73" s="27"/>
      <c r="S73" s="51">
        <f t="shared" si="4"/>
        <v>162281.49000000002</v>
      </c>
      <c r="T73" s="51">
        <f t="shared" si="5"/>
        <v>16228.149000000003</v>
      </c>
      <c r="U73" s="51"/>
      <c r="V73" s="79"/>
      <c r="W73" s="51">
        <f t="shared" si="11"/>
        <v>0</v>
      </c>
      <c r="X73" s="79"/>
      <c r="Y73" s="39"/>
      <c r="Z73" s="51"/>
      <c r="AA73" s="55"/>
      <c r="AB73" s="51"/>
      <c r="AC73" s="51">
        <f t="shared" si="6"/>
        <v>48684.447000000007</v>
      </c>
      <c r="AD73" s="28"/>
      <c r="AE73" s="51"/>
      <c r="AF73" s="51"/>
      <c r="AG73" s="197"/>
      <c r="AH73" s="51"/>
      <c r="AI73" s="51"/>
      <c r="AJ73" s="51">
        <f>S73*50%</f>
        <v>81140.74500000001</v>
      </c>
      <c r="AK73" s="51"/>
      <c r="AL73" s="51">
        <f t="shared" si="7"/>
        <v>308334.83100000001</v>
      </c>
      <c r="AM73" s="51">
        <f t="shared" si="8"/>
        <v>3700.0179720000001</v>
      </c>
      <c r="AN73" s="221">
        <f t="shared" si="9"/>
        <v>16</v>
      </c>
    </row>
    <row r="74" spans="1:40" s="2" customFormat="1" ht="38.25">
      <c r="A74" s="63">
        <v>54</v>
      </c>
      <c r="B74" s="68" t="s">
        <v>127</v>
      </c>
      <c r="C74" s="68" t="s">
        <v>159</v>
      </c>
      <c r="D74" s="25" t="s">
        <v>37</v>
      </c>
      <c r="E74" s="28">
        <f t="shared" si="10"/>
        <v>0.5</v>
      </c>
      <c r="F74" s="63" t="s">
        <v>176</v>
      </c>
      <c r="G74" s="25" t="s">
        <v>37</v>
      </c>
      <c r="H74" s="208" t="s">
        <v>362</v>
      </c>
      <c r="I74" s="140">
        <v>5.08</v>
      </c>
      <c r="J74" s="51">
        <v>17697</v>
      </c>
      <c r="K74" s="26">
        <v>1.75</v>
      </c>
      <c r="L74" s="51">
        <f t="shared" si="1"/>
        <v>157326.33000000002</v>
      </c>
      <c r="M74" s="27">
        <f t="shared" si="2"/>
        <v>8</v>
      </c>
      <c r="N74" s="63">
        <v>8</v>
      </c>
      <c r="O74" s="51">
        <f t="shared" si="3"/>
        <v>78663.165000000008</v>
      </c>
      <c r="P74" s="76"/>
      <c r="Q74" s="51"/>
      <c r="R74" s="27"/>
      <c r="S74" s="51">
        <f t="shared" si="4"/>
        <v>78663.165000000008</v>
      </c>
      <c r="T74" s="51">
        <f t="shared" si="5"/>
        <v>7866.3165000000008</v>
      </c>
      <c r="U74" s="51"/>
      <c r="V74" s="79"/>
      <c r="W74" s="51">
        <f t="shared" si="11"/>
        <v>0</v>
      </c>
      <c r="X74" s="79"/>
      <c r="Y74" s="39"/>
      <c r="Z74" s="51"/>
      <c r="AA74" s="55">
        <f>3063*10</f>
        <v>30630</v>
      </c>
      <c r="AB74" s="51"/>
      <c r="AC74" s="51">
        <f t="shared" si="6"/>
        <v>23598.949500000002</v>
      </c>
      <c r="AD74" s="28">
        <v>8</v>
      </c>
      <c r="AE74" s="51">
        <f t="shared" si="13"/>
        <v>3539.4</v>
      </c>
      <c r="AF74" s="51"/>
      <c r="AG74" s="197"/>
      <c r="AH74" s="51"/>
      <c r="AI74" s="51"/>
      <c r="AJ74" s="51"/>
      <c r="AK74" s="51"/>
      <c r="AL74" s="51">
        <f t="shared" si="7"/>
        <v>144297.83100000001</v>
      </c>
      <c r="AM74" s="51">
        <f t="shared" si="8"/>
        <v>1731.5739720000001</v>
      </c>
      <c r="AN74" s="221">
        <f t="shared" si="9"/>
        <v>8</v>
      </c>
    </row>
    <row r="75" spans="1:40" s="2" customFormat="1" ht="38.25">
      <c r="A75" s="63">
        <v>55</v>
      </c>
      <c r="B75" s="68" t="s">
        <v>128</v>
      </c>
      <c r="C75" s="216" t="s">
        <v>169</v>
      </c>
      <c r="D75" s="25" t="s">
        <v>37</v>
      </c>
      <c r="E75" s="28">
        <f t="shared" si="10"/>
        <v>1.25</v>
      </c>
      <c r="F75" s="63" t="s">
        <v>176</v>
      </c>
      <c r="G75" s="25" t="s">
        <v>37</v>
      </c>
      <c r="H75" s="208" t="s">
        <v>443</v>
      </c>
      <c r="I75" s="140">
        <v>5.01</v>
      </c>
      <c r="J75" s="51">
        <v>17697</v>
      </c>
      <c r="K75" s="26">
        <v>1.75</v>
      </c>
      <c r="L75" s="51">
        <f t="shared" si="1"/>
        <v>155158.44749999998</v>
      </c>
      <c r="M75" s="27">
        <f t="shared" si="2"/>
        <v>20</v>
      </c>
      <c r="N75" s="63">
        <v>20</v>
      </c>
      <c r="O75" s="51">
        <f t="shared" si="3"/>
        <v>193948.05937499998</v>
      </c>
      <c r="P75" s="76"/>
      <c r="Q75" s="51"/>
      <c r="R75" s="27"/>
      <c r="S75" s="51">
        <f t="shared" si="4"/>
        <v>193948.05937499998</v>
      </c>
      <c r="T75" s="51">
        <f t="shared" si="5"/>
        <v>19394.805937499998</v>
      </c>
      <c r="U75" s="51"/>
      <c r="V75" s="79"/>
      <c r="W75" s="51">
        <f t="shared" si="11"/>
        <v>0</v>
      </c>
      <c r="X75" s="79"/>
      <c r="Y75" s="39"/>
      <c r="Z75" s="51"/>
      <c r="AA75" s="55"/>
      <c r="AB75" s="51"/>
      <c r="AC75" s="51">
        <f t="shared" si="6"/>
        <v>58184.417812499996</v>
      </c>
      <c r="AD75" s="28">
        <v>20</v>
      </c>
      <c r="AE75" s="51">
        <f t="shared" si="13"/>
        <v>8848.5</v>
      </c>
      <c r="AF75" s="51"/>
      <c r="AG75" s="197"/>
      <c r="AH75" s="51"/>
      <c r="AI75" s="51"/>
      <c r="AJ75" s="51">
        <f>S75*50%</f>
        <v>96974.029687499991</v>
      </c>
      <c r="AK75" s="51"/>
      <c r="AL75" s="51">
        <f t="shared" si="7"/>
        <v>377349.81281249993</v>
      </c>
      <c r="AM75" s="51">
        <f t="shared" si="8"/>
        <v>4528.1977537499988</v>
      </c>
      <c r="AN75" s="221">
        <f t="shared" si="9"/>
        <v>20</v>
      </c>
    </row>
    <row r="76" spans="1:40" s="2" customFormat="1" ht="38.25">
      <c r="A76" s="63">
        <v>56</v>
      </c>
      <c r="B76" s="68" t="s">
        <v>129</v>
      </c>
      <c r="C76" s="68" t="s">
        <v>169</v>
      </c>
      <c r="D76" s="25" t="s">
        <v>37</v>
      </c>
      <c r="E76" s="28">
        <f t="shared" si="10"/>
        <v>1</v>
      </c>
      <c r="F76" s="63" t="s">
        <v>179</v>
      </c>
      <c r="G76" s="25" t="s">
        <v>69</v>
      </c>
      <c r="H76" s="208" t="s">
        <v>402</v>
      </c>
      <c r="I76" s="140">
        <v>4.8600000000000003</v>
      </c>
      <c r="J76" s="51">
        <v>17697</v>
      </c>
      <c r="K76" s="26">
        <v>1.75</v>
      </c>
      <c r="L76" s="51">
        <f t="shared" si="1"/>
        <v>150512.98500000002</v>
      </c>
      <c r="M76" s="27">
        <f t="shared" si="2"/>
        <v>16</v>
      </c>
      <c r="N76" s="63">
        <v>16</v>
      </c>
      <c r="O76" s="51">
        <f t="shared" si="3"/>
        <v>150512.98500000002</v>
      </c>
      <c r="P76" s="76"/>
      <c r="Q76" s="51"/>
      <c r="R76" s="27"/>
      <c r="S76" s="51">
        <f t="shared" si="4"/>
        <v>150512.98500000002</v>
      </c>
      <c r="T76" s="51">
        <f t="shared" si="5"/>
        <v>15051.298500000003</v>
      </c>
      <c r="U76" s="51"/>
      <c r="V76" s="79"/>
      <c r="W76" s="51">
        <f t="shared" si="11"/>
        <v>0</v>
      </c>
      <c r="X76" s="79">
        <v>16</v>
      </c>
      <c r="Y76" s="39">
        <v>0.5</v>
      </c>
      <c r="Z76" s="51">
        <f t="shared" si="12"/>
        <v>8848.5</v>
      </c>
      <c r="AA76" s="55"/>
      <c r="AB76" s="51"/>
      <c r="AC76" s="51">
        <f t="shared" si="6"/>
        <v>45153.895500000006</v>
      </c>
      <c r="AD76" s="28">
        <v>16</v>
      </c>
      <c r="AE76" s="51">
        <f t="shared" si="13"/>
        <v>7078.8</v>
      </c>
      <c r="AF76" s="51"/>
      <c r="AG76" s="197"/>
      <c r="AH76" s="197">
        <f>S76*35%</f>
        <v>52679.544750000001</v>
      </c>
      <c r="AI76" s="51"/>
      <c r="AJ76" s="51"/>
      <c r="AK76" s="51"/>
      <c r="AL76" s="51">
        <f t="shared" si="7"/>
        <v>279325.02375000005</v>
      </c>
      <c r="AM76" s="51">
        <f t="shared" si="8"/>
        <v>3351.9002850000006</v>
      </c>
      <c r="AN76" s="221">
        <f t="shared" si="9"/>
        <v>0</v>
      </c>
    </row>
    <row r="77" spans="1:40" s="2" customFormat="1" ht="38.25">
      <c r="A77" s="63">
        <v>57</v>
      </c>
      <c r="B77" s="67" t="s">
        <v>130</v>
      </c>
      <c r="C77" s="68" t="s">
        <v>170</v>
      </c>
      <c r="D77" s="25" t="s">
        <v>37</v>
      </c>
      <c r="E77" s="28">
        <f t="shared" si="10"/>
        <v>1</v>
      </c>
      <c r="F77" s="63" t="s">
        <v>180</v>
      </c>
      <c r="G77" s="25"/>
      <c r="H77" s="208" t="s">
        <v>401</v>
      </c>
      <c r="I77" s="140">
        <v>4.38</v>
      </c>
      <c r="J77" s="51">
        <v>17697</v>
      </c>
      <c r="K77" s="26">
        <v>1.75</v>
      </c>
      <c r="L77" s="51">
        <f t="shared" si="1"/>
        <v>135647.505</v>
      </c>
      <c r="M77" s="27">
        <f t="shared" si="2"/>
        <v>16</v>
      </c>
      <c r="N77" s="63">
        <v>16</v>
      </c>
      <c r="O77" s="51">
        <f t="shared" si="3"/>
        <v>135647.505</v>
      </c>
      <c r="P77" s="76"/>
      <c r="Q77" s="51"/>
      <c r="R77" s="27"/>
      <c r="S77" s="51">
        <f t="shared" si="4"/>
        <v>135647.505</v>
      </c>
      <c r="T77" s="51">
        <f t="shared" si="5"/>
        <v>13564.750500000002</v>
      </c>
      <c r="U77" s="51"/>
      <c r="V77" s="79"/>
      <c r="W77" s="51">
        <f t="shared" si="11"/>
        <v>0</v>
      </c>
      <c r="X77" s="79"/>
      <c r="Y77" s="39"/>
      <c r="Z77" s="51"/>
      <c r="AA77" s="55">
        <f>3063*10</f>
        <v>30630</v>
      </c>
      <c r="AB77" s="51"/>
      <c r="AC77" s="51">
        <f t="shared" si="6"/>
        <v>40694.251499999998</v>
      </c>
      <c r="AD77" s="28">
        <v>16</v>
      </c>
      <c r="AE77" s="51">
        <f t="shared" si="13"/>
        <v>7078.8</v>
      </c>
      <c r="AF77" s="51"/>
      <c r="AG77" s="197"/>
      <c r="AH77" s="51"/>
      <c r="AI77" s="51"/>
      <c r="AJ77" s="51"/>
      <c r="AK77" s="51"/>
      <c r="AL77" s="51">
        <f t="shared" si="7"/>
        <v>227615.307</v>
      </c>
      <c r="AM77" s="51">
        <f t="shared" si="8"/>
        <v>2731.3836839999999</v>
      </c>
      <c r="AN77" s="221">
        <f t="shared" si="9"/>
        <v>16</v>
      </c>
    </row>
    <row r="78" spans="1:40" s="2" customFormat="1" ht="38.25">
      <c r="A78" s="63">
        <v>58</v>
      </c>
      <c r="B78" s="68" t="s">
        <v>131</v>
      </c>
      <c r="C78" s="68" t="s">
        <v>167</v>
      </c>
      <c r="D78" s="25" t="s">
        <v>37</v>
      </c>
      <c r="E78" s="28">
        <f t="shared" si="10"/>
        <v>1</v>
      </c>
      <c r="F78" s="63" t="s">
        <v>181</v>
      </c>
      <c r="G78" s="25" t="s">
        <v>70</v>
      </c>
      <c r="H78" s="208" t="s">
        <v>450</v>
      </c>
      <c r="I78" s="140">
        <v>4.59</v>
      </c>
      <c r="J78" s="51">
        <v>17697</v>
      </c>
      <c r="K78" s="26">
        <v>1.75</v>
      </c>
      <c r="L78" s="51">
        <f t="shared" si="1"/>
        <v>142151.1525</v>
      </c>
      <c r="M78" s="27">
        <f t="shared" si="2"/>
        <v>16</v>
      </c>
      <c r="N78" s="63">
        <v>16</v>
      </c>
      <c r="O78" s="51">
        <f t="shared" si="3"/>
        <v>142151.1525</v>
      </c>
      <c r="P78" s="76"/>
      <c r="Q78" s="51"/>
      <c r="R78" s="27"/>
      <c r="S78" s="51">
        <f t="shared" si="4"/>
        <v>142151.1525</v>
      </c>
      <c r="T78" s="51">
        <f t="shared" si="5"/>
        <v>14215.115250000001</v>
      </c>
      <c r="U78" s="51"/>
      <c r="V78" s="79"/>
      <c r="W78" s="51">
        <f t="shared" si="11"/>
        <v>0</v>
      </c>
      <c r="X78" s="79"/>
      <c r="Y78" s="39"/>
      <c r="Z78" s="51"/>
      <c r="AA78" s="55">
        <f>3063*10</f>
        <v>30630</v>
      </c>
      <c r="AB78" s="51"/>
      <c r="AC78" s="51">
        <f t="shared" si="6"/>
        <v>42645.34575</v>
      </c>
      <c r="AD78" s="28">
        <v>16</v>
      </c>
      <c r="AE78" s="51">
        <f t="shared" si="13"/>
        <v>7078.8</v>
      </c>
      <c r="AF78" s="51"/>
      <c r="AG78" s="197">
        <f>+O78*30%</f>
        <v>42645.34575</v>
      </c>
      <c r="AH78" s="51"/>
      <c r="AI78" s="51"/>
      <c r="AJ78" s="51"/>
      <c r="AK78" s="51"/>
      <c r="AL78" s="51">
        <f t="shared" si="7"/>
        <v>279365.75925</v>
      </c>
      <c r="AM78" s="51">
        <f t="shared" si="8"/>
        <v>3352.389111</v>
      </c>
      <c r="AN78" s="221">
        <f t="shared" si="9"/>
        <v>16</v>
      </c>
    </row>
    <row r="79" spans="1:40" s="2" customFormat="1" ht="38.25">
      <c r="A79" s="63">
        <v>59</v>
      </c>
      <c r="B79" s="67" t="s">
        <v>132</v>
      </c>
      <c r="C79" s="68" t="s">
        <v>157</v>
      </c>
      <c r="D79" s="25" t="s">
        <v>37</v>
      </c>
      <c r="E79" s="28">
        <f t="shared" si="10"/>
        <v>0.5</v>
      </c>
      <c r="F79" s="63" t="s">
        <v>176</v>
      </c>
      <c r="G79" s="118" t="s">
        <v>37</v>
      </c>
      <c r="H79" s="208" t="s">
        <v>376</v>
      </c>
      <c r="I79" s="140">
        <v>5.08</v>
      </c>
      <c r="J79" s="51">
        <v>17697</v>
      </c>
      <c r="K79" s="26">
        <v>1.75</v>
      </c>
      <c r="L79" s="51">
        <f t="shared" si="1"/>
        <v>157326.33000000002</v>
      </c>
      <c r="M79" s="27">
        <f t="shared" si="2"/>
        <v>8</v>
      </c>
      <c r="N79" s="219">
        <v>8</v>
      </c>
      <c r="O79" s="51">
        <f t="shared" si="3"/>
        <v>78663.165000000008</v>
      </c>
      <c r="P79" s="223"/>
      <c r="Q79" s="51"/>
      <c r="R79" s="27"/>
      <c r="S79" s="51">
        <f t="shared" si="4"/>
        <v>78663.165000000008</v>
      </c>
      <c r="T79" s="51">
        <f t="shared" si="5"/>
        <v>7866.3165000000008</v>
      </c>
      <c r="U79" s="51"/>
      <c r="V79" s="224"/>
      <c r="W79" s="51">
        <f t="shared" si="11"/>
        <v>0</v>
      </c>
      <c r="X79" s="224">
        <v>8</v>
      </c>
      <c r="Y79" s="39">
        <v>0.5</v>
      </c>
      <c r="Z79" s="51">
        <f t="shared" si="12"/>
        <v>4424.25</v>
      </c>
      <c r="AA79" s="55"/>
      <c r="AB79" s="51"/>
      <c r="AC79" s="51">
        <f t="shared" si="6"/>
        <v>23598.949500000002</v>
      </c>
      <c r="AD79" s="28">
        <v>8</v>
      </c>
      <c r="AE79" s="51">
        <f t="shared" si="13"/>
        <v>3539.4</v>
      </c>
      <c r="AF79" s="51"/>
      <c r="AG79" s="197"/>
      <c r="AH79" s="51"/>
      <c r="AI79" s="51"/>
      <c r="AJ79" s="51">
        <f>S79*50%</f>
        <v>39331.582500000004</v>
      </c>
      <c r="AK79" s="51"/>
      <c r="AL79" s="51">
        <f t="shared" si="7"/>
        <v>157423.66350000002</v>
      </c>
      <c r="AM79" s="51">
        <f t="shared" si="8"/>
        <v>1889.0839620000004</v>
      </c>
      <c r="AN79" s="221">
        <f t="shared" si="9"/>
        <v>0</v>
      </c>
    </row>
    <row r="80" spans="1:40" s="2" customFormat="1" ht="38.25">
      <c r="A80" s="63">
        <v>60</v>
      </c>
      <c r="B80" s="67" t="s">
        <v>133</v>
      </c>
      <c r="C80" s="68" t="s">
        <v>148</v>
      </c>
      <c r="D80" s="25" t="s">
        <v>37</v>
      </c>
      <c r="E80" s="28">
        <f t="shared" si="10"/>
        <v>0.25</v>
      </c>
      <c r="F80" s="63" t="s">
        <v>180</v>
      </c>
      <c r="G80" s="25"/>
      <c r="H80" s="208" t="s">
        <v>451</v>
      </c>
      <c r="I80" s="140">
        <v>4.0999999999999996</v>
      </c>
      <c r="J80" s="51">
        <v>17697</v>
      </c>
      <c r="K80" s="26">
        <v>1.75</v>
      </c>
      <c r="L80" s="51">
        <f t="shared" si="1"/>
        <v>126975.97499999999</v>
      </c>
      <c r="M80" s="27">
        <f t="shared" si="2"/>
        <v>4</v>
      </c>
      <c r="N80" s="63">
        <v>4</v>
      </c>
      <c r="O80" s="51">
        <f t="shared" si="3"/>
        <v>31743.993749999998</v>
      </c>
      <c r="P80" s="76"/>
      <c r="Q80" s="51"/>
      <c r="R80" s="27"/>
      <c r="S80" s="51">
        <f t="shared" si="4"/>
        <v>31743.993749999998</v>
      </c>
      <c r="T80" s="51">
        <f t="shared" si="5"/>
        <v>3174.399375</v>
      </c>
      <c r="U80" s="51"/>
      <c r="V80" s="79"/>
      <c r="W80" s="51">
        <f t="shared" si="11"/>
        <v>0</v>
      </c>
      <c r="X80" s="79"/>
      <c r="Y80" s="39"/>
      <c r="Z80" s="51"/>
      <c r="AA80" s="55"/>
      <c r="AB80" s="51"/>
      <c r="AC80" s="51">
        <f t="shared" si="6"/>
        <v>9523.198124999999</v>
      </c>
      <c r="AD80" s="28">
        <v>3</v>
      </c>
      <c r="AE80" s="51">
        <f t="shared" si="13"/>
        <v>1327.2750000000001</v>
      </c>
      <c r="AF80" s="51"/>
      <c r="AG80" s="197"/>
      <c r="AH80" s="51"/>
      <c r="AI80" s="51"/>
      <c r="AJ80" s="51"/>
      <c r="AK80" s="51"/>
      <c r="AL80" s="51">
        <f t="shared" si="7"/>
        <v>45768.866249999992</v>
      </c>
      <c r="AM80" s="51">
        <f t="shared" si="8"/>
        <v>549.22639499999991</v>
      </c>
      <c r="AN80" s="221">
        <f t="shared" si="9"/>
        <v>4</v>
      </c>
    </row>
    <row r="81" spans="1:40" s="2" customFormat="1" ht="38.25">
      <c r="A81" s="63">
        <v>61</v>
      </c>
      <c r="B81" s="67" t="s">
        <v>134</v>
      </c>
      <c r="C81" s="68" t="s">
        <v>148</v>
      </c>
      <c r="D81" s="25" t="s">
        <v>37</v>
      </c>
      <c r="E81" s="28">
        <f t="shared" si="10"/>
        <v>0.4375</v>
      </c>
      <c r="F81" s="63" t="s">
        <v>180</v>
      </c>
      <c r="G81" s="25"/>
      <c r="H81" s="208" t="s">
        <v>370</v>
      </c>
      <c r="I81" s="140">
        <v>4.0999999999999996</v>
      </c>
      <c r="J81" s="51">
        <v>17697</v>
      </c>
      <c r="K81" s="26">
        <v>1.75</v>
      </c>
      <c r="L81" s="51">
        <f t="shared" si="1"/>
        <v>126975.97499999999</v>
      </c>
      <c r="M81" s="27">
        <f t="shared" si="2"/>
        <v>7</v>
      </c>
      <c r="N81" s="63">
        <v>7</v>
      </c>
      <c r="O81" s="51">
        <f t="shared" si="3"/>
        <v>55551.989062499997</v>
      </c>
      <c r="P81" s="76"/>
      <c r="Q81" s="51"/>
      <c r="R81" s="27"/>
      <c r="S81" s="51">
        <f t="shared" si="4"/>
        <v>55551.989062499997</v>
      </c>
      <c r="T81" s="51">
        <f t="shared" si="5"/>
        <v>5555.1989062499997</v>
      </c>
      <c r="U81" s="51"/>
      <c r="V81" s="79"/>
      <c r="W81" s="51">
        <f t="shared" si="11"/>
        <v>0</v>
      </c>
      <c r="X81" s="79"/>
      <c r="Y81" s="39"/>
      <c r="Z81" s="51"/>
      <c r="AA81" s="55"/>
      <c r="AB81" s="51"/>
      <c r="AC81" s="51">
        <f t="shared" si="6"/>
        <v>16665.596718749999</v>
      </c>
      <c r="AD81" s="28">
        <v>7</v>
      </c>
      <c r="AE81" s="51">
        <f t="shared" si="13"/>
        <v>3096.9749999999999</v>
      </c>
      <c r="AF81" s="51"/>
      <c r="AG81" s="197"/>
      <c r="AH81" s="51"/>
      <c r="AI81" s="51"/>
      <c r="AJ81" s="51"/>
      <c r="AK81" s="51"/>
      <c r="AL81" s="51">
        <f t="shared" si="7"/>
        <v>80869.759687499987</v>
      </c>
      <c r="AM81" s="51">
        <f t="shared" si="8"/>
        <v>970.4371162499998</v>
      </c>
      <c r="AN81" s="221">
        <f t="shared" si="9"/>
        <v>7</v>
      </c>
    </row>
    <row r="82" spans="1:40" s="2" customFormat="1" ht="30">
      <c r="A82" s="63">
        <v>62</v>
      </c>
      <c r="B82" s="68" t="s">
        <v>135</v>
      </c>
      <c r="C82" s="68" t="s">
        <v>171</v>
      </c>
      <c r="D82" s="25" t="s">
        <v>37</v>
      </c>
      <c r="E82" s="28">
        <f t="shared" si="10"/>
        <v>0.5</v>
      </c>
      <c r="F82" s="63" t="s">
        <v>180</v>
      </c>
      <c r="G82" s="25"/>
      <c r="H82" s="208" t="s">
        <v>370</v>
      </c>
      <c r="I82" s="140">
        <v>4.0999999999999996</v>
      </c>
      <c r="J82" s="51">
        <v>17697</v>
      </c>
      <c r="K82" s="26">
        <v>1.75</v>
      </c>
      <c r="L82" s="51">
        <f t="shared" si="1"/>
        <v>126975.97499999999</v>
      </c>
      <c r="M82" s="27">
        <f t="shared" si="2"/>
        <v>8</v>
      </c>
      <c r="N82" s="63">
        <v>8</v>
      </c>
      <c r="O82" s="51">
        <f t="shared" si="3"/>
        <v>63487.987499999996</v>
      </c>
      <c r="P82" s="76"/>
      <c r="Q82" s="51"/>
      <c r="R82" s="27"/>
      <c r="S82" s="51">
        <f t="shared" si="4"/>
        <v>63487.987499999996</v>
      </c>
      <c r="T82" s="51">
        <f t="shared" si="5"/>
        <v>6348.7987499999999</v>
      </c>
      <c r="U82" s="51"/>
      <c r="V82" s="79"/>
      <c r="W82" s="51">
        <f t="shared" si="11"/>
        <v>0</v>
      </c>
      <c r="X82" s="79"/>
      <c r="Y82" s="39"/>
      <c r="Z82" s="51"/>
      <c r="AA82" s="55">
        <f>3063*10</f>
        <v>30630</v>
      </c>
      <c r="AB82" s="51"/>
      <c r="AC82" s="51">
        <f t="shared" si="6"/>
        <v>19046.396249999998</v>
      </c>
      <c r="AD82" s="28">
        <v>8</v>
      </c>
      <c r="AE82" s="51">
        <f t="shared" si="13"/>
        <v>3539.4</v>
      </c>
      <c r="AF82" s="51"/>
      <c r="AG82" s="197"/>
      <c r="AH82" s="51"/>
      <c r="AI82" s="51"/>
      <c r="AJ82" s="51"/>
      <c r="AK82" s="51"/>
      <c r="AL82" s="51">
        <f t="shared" si="7"/>
        <v>123052.58249999999</v>
      </c>
      <c r="AM82" s="51">
        <f t="shared" si="8"/>
        <v>1476.6309899999997</v>
      </c>
      <c r="AN82" s="221">
        <f t="shared" si="9"/>
        <v>8</v>
      </c>
    </row>
    <row r="83" spans="1:40" s="2" customFormat="1" ht="38.25">
      <c r="A83" s="63">
        <v>63</v>
      </c>
      <c r="B83" s="67" t="s">
        <v>136</v>
      </c>
      <c r="C83" s="68" t="s">
        <v>158</v>
      </c>
      <c r="D83" s="25" t="s">
        <v>37</v>
      </c>
      <c r="E83" s="28">
        <f t="shared" si="10"/>
        <v>0.5</v>
      </c>
      <c r="F83" s="63" t="s">
        <v>180</v>
      </c>
      <c r="G83" s="25"/>
      <c r="H83" s="208" t="s">
        <v>452</v>
      </c>
      <c r="I83" s="140">
        <v>4.33</v>
      </c>
      <c r="J83" s="51">
        <v>17697</v>
      </c>
      <c r="K83" s="26">
        <v>1.75</v>
      </c>
      <c r="L83" s="51">
        <f t="shared" si="1"/>
        <v>134099.01750000002</v>
      </c>
      <c r="M83" s="27">
        <f t="shared" si="2"/>
        <v>8</v>
      </c>
      <c r="N83" s="63">
        <v>8</v>
      </c>
      <c r="O83" s="51">
        <f t="shared" si="3"/>
        <v>67049.508750000008</v>
      </c>
      <c r="P83" s="76"/>
      <c r="Q83" s="51"/>
      <c r="R83" s="27"/>
      <c r="S83" s="51">
        <f t="shared" si="4"/>
        <v>67049.508750000008</v>
      </c>
      <c r="T83" s="51">
        <f t="shared" si="5"/>
        <v>6704.9508750000014</v>
      </c>
      <c r="U83" s="51"/>
      <c r="V83" s="79"/>
      <c r="W83" s="51">
        <f t="shared" si="11"/>
        <v>0</v>
      </c>
      <c r="X83" s="79"/>
      <c r="Y83" s="39"/>
      <c r="Z83" s="51"/>
      <c r="AA83" s="55"/>
      <c r="AB83" s="51"/>
      <c r="AC83" s="51">
        <f t="shared" si="6"/>
        <v>20114.852625000003</v>
      </c>
      <c r="AD83" s="28">
        <v>8</v>
      </c>
      <c r="AE83" s="51">
        <f t="shared" si="13"/>
        <v>3539.4</v>
      </c>
      <c r="AF83" s="51"/>
      <c r="AG83" s="197"/>
      <c r="AH83" s="51"/>
      <c r="AI83" s="51"/>
      <c r="AJ83" s="51"/>
      <c r="AK83" s="51"/>
      <c r="AL83" s="51">
        <f t="shared" si="7"/>
        <v>97408.712250000011</v>
      </c>
      <c r="AM83" s="51">
        <f t="shared" si="8"/>
        <v>1168.9045470000003</v>
      </c>
      <c r="AN83" s="221">
        <f t="shared" si="9"/>
        <v>8</v>
      </c>
    </row>
    <row r="84" spans="1:40" s="2" customFormat="1" ht="51">
      <c r="A84" s="63">
        <v>64</v>
      </c>
      <c r="B84" s="68" t="s">
        <v>137</v>
      </c>
      <c r="C84" s="68" t="s">
        <v>172</v>
      </c>
      <c r="D84" s="25" t="s">
        <v>37</v>
      </c>
      <c r="E84" s="28">
        <f t="shared" si="10"/>
        <v>0.5</v>
      </c>
      <c r="F84" s="63" t="s">
        <v>176</v>
      </c>
      <c r="G84" s="25" t="s">
        <v>37</v>
      </c>
      <c r="H84" s="208" t="s">
        <v>379</v>
      </c>
      <c r="I84" s="140">
        <v>5.08</v>
      </c>
      <c r="J84" s="51">
        <v>17697</v>
      </c>
      <c r="K84" s="26">
        <v>1.75</v>
      </c>
      <c r="L84" s="51">
        <f t="shared" si="1"/>
        <v>157326.33000000002</v>
      </c>
      <c r="M84" s="27">
        <f t="shared" si="2"/>
        <v>8</v>
      </c>
      <c r="N84" s="63">
        <v>8</v>
      </c>
      <c r="O84" s="51">
        <f t="shared" si="3"/>
        <v>78663.165000000008</v>
      </c>
      <c r="P84" s="76"/>
      <c r="Q84" s="51"/>
      <c r="R84" s="27"/>
      <c r="S84" s="51">
        <f t="shared" si="4"/>
        <v>78663.165000000008</v>
      </c>
      <c r="T84" s="51">
        <f t="shared" si="5"/>
        <v>7866.3165000000008</v>
      </c>
      <c r="U84" s="51"/>
      <c r="V84" s="79"/>
      <c r="W84" s="51">
        <f t="shared" si="11"/>
        <v>0</v>
      </c>
      <c r="X84" s="79"/>
      <c r="Y84" s="39"/>
      <c r="Z84" s="51"/>
      <c r="AA84" s="55">
        <f>3063*10</f>
        <v>30630</v>
      </c>
      <c r="AB84" s="51">
        <f>SUM(J84*2)</f>
        <v>35394</v>
      </c>
      <c r="AC84" s="51">
        <f t="shared" si="6"/>
        <v>23598.949500000002</v>
      </c>
      <c r="AD84" s="28">
        <v>8</v>
      </c>
      <c r="AE84" s="51">
        <f t="shared" si="13"/>
        <v>3539.4</v>
      </c>
      <c r="AF84" s="51"/>
      <c r="AG84" s="197"/>
      <c r="AH84" s="51"/>
      <c r="AI84" s="197">
        <f>S84*40%</f>
        <v>31465.266000000003</v>
      </c>
      <c r="AJ84" s="51"/>
      <c r="AK84" s="51"/>
      <c r="AL84" s="51">
        <f t="shared" si="7"/>
        <v>211157.09700000004</v>
      </c>
      <c r="AM84" s="51">
        <f t="shared" si="8"/>
        <v>2533.8851640000003</v>
      </c>
      <c r="AN84" s="221">
        <f t="shared" si="9"/>
        <v>8</v>
      </c>
    </row>
    <row r="85" spans="1:40" s="2" customFormat="1" ht="38.25">
      <c r="A85" s="63">
        <v>65</v>
      </c>
      <c r="B85" s="65" t="s">
        <v>138</v>
      </c>
      <c r="C85" s="68" t="s">
        <v>165</v>
      </c>
      <c r="D85" s="25" t="s">
        <v>37</v>
      </c>
      <c r="E85" s="28">
        <f t="shared" si="10"/>
        <v>1.125</v>
      </c>
      <c r="F85" s="63" t="s">
        <v>180</v>
      </c>
      <c r="G85" s="25"/>
      <c r="H85" s="208" t="s">
        <v>358</v>
      </c>
      <c r="I85" s="140">
        <v>4.0999999999999996</v>
      </c>
      <c r="J85" s="51">
        <v>17697</v>
      </c>
      <c r="K85" s="26">
        <v>1.75</v>
      </c>
      <c r="L85" s="51">
        <f t="shared" si="1"/>
        <v>126975.97499999999</v>
      </c>
      <c r="M85" s="27">
        <f t="shared" si="2"/>
        <v>18</v>
      </c>
      <c r="N85" s="63">
        <v>18</v>
      </c>
      <c r="O85" s="51">
        <f t="shared" si="3"/>
        <v>142847.97187499999</v>
      </c>
      <c r="P85" s="76"/>
      <c r="Q85" s="51"/>
      <c r="R85" s="27"/>
      <c r="S85" s="51">
        <f t="shared" si="4"/>
        <v>142847.97187499999</v>
      </c>
      <c r="T85" s="51">
        <f t="shared" si="5"/>
        <v>14284.7971875</v>
      </c>
      <c r="U85" s="51"/>
      <c r="V85" s="79"/>
      <c r="W85" s="51">
        <f t="shared" si="11"/>
        <v>0</v>
      </c>
      <c r="X85" s="79"/>
      <c r="Y85" s="39"/>
      <c r="Z85" s="51"/>
      <c r="AA85" s="55"/>
      <c r="AB85" s="51"/>
      <c r="AC85" s="51">
        <f t="shared" si="6"/>
        <v>42854.391562499994</v>
      </c>
      <c r="AD85" s="28"/>
      <c r="AE85" s="51"/>
      <c r="AF85" s="51"/>
      <c r="AG85" s="197"/>
      <c r="AH85" s="51"/>
      <c r="AI85" s="51"/>
      <c r="AJ85" s="51"/>
      <c r="AK85" s="51"/>
      <c r="AL85" s="51">
        <f t="shared" si="7"/>
        <v>199987.16062499999</v>
      </c>
      <c r="AM85" s="51">
        <f t="shared" si="8"/>
        <v>2399.8459274999996</v>
      </c>
      <c r="AN85" s="221">
        <f t="shared" si="9"/>
        <v>18</v>
      </c>
    </row>
    <row r="86" spans="1:40" s="2" customFormat="1" ht="38.25">
      <c r="A86" s="63">
        <v>66</v>
      </c>
      <c r="B86" s="65" t="s">
        <v>139</v>
      </c>
      <c r="C86" s="68" t="s">
        <v>165</v>
      </c>
      <c r="D86" s="25" t="s">
        <v>37</v>
      </c>
      <c r="E86" s="28">
        <f t="shared" si="10"/>
        <v>1.125</v>
      </c>
      <c r="F86" s="63" t="s">
        <v>180</v>
      </c>
      <c r="G86" s="25"/>
      <c r="H86" s="208" t="s">
        <v>453</v>
      </c>
      <c r="I86" s="140">
        <v>4.0999999999999996</v>
      </c>
      <c r="J86" s="51">
        <v>17697</v>
      </c>
      <c r="K86" s="26">
        <v>1.75</v>
      </c>
      <c r="L86" s="51">
        <f>K86*J86*I86</f>
        <v>126975.97499999999</v>
      </c>
      <c r="M86" s="27">
        <f>N86+P86</f>
        <v>18</v>
      </c>
      <c r="N86" s="63">
        <v>18</v>
      </c>
      <c r="O86" s="51">
        <f>L86/16*N86</f>
        <v>142847.97187499999</v>
      </c>
      <c r="P86" s="76"/>
      <c r="Q86" s="51"/>
      <c r="R86" s="27"/>
      <c r="S86" s="51">
        <f>R86+Q86+O86</f>
        <v>142847.97187499999</v>
      </c>
      <c r="T86" s="51">
        <f>S86*10%</f>
        <v>14284.7971875</v>
      </c>
      <c r="U86" s="51"/>
      <c r="V86" s="79"/>
      <c r="W86" s="51">
        <f t="shared" si="11"/>
        <v>0</v>
      </c>
      <c r="X86" s="79"/>
      <c r="Y86" s="39"/>
      <c r="Z86" s="51"/>
      <c r="AA86" s="55"/>
      <c r="AB86" s="51"/>
      <c r="AC86" s="51">
        <f>S86*30%</f>
        <v>42854.391562499994</v>
      </c>
      <c r="AD86" s="28"/>
      <c r="AE86" s="51"/>
      <c r="AF86" s="51"/>
      <c r="AG86" s="197"/>
      <c r="AH86" s="51"/>
      <c r="AI86" s="51"/>
      <c r="AJ86" s="51"/>
      <c r="AK86" s="51"/>
      <c r="AL86" s="51">
        <f>AJ86+AI86+AH86+AG86+AF86+AE86+AC86+AB86+AA86+Z86+W86+T86+S86+AK86</f>
        <v>199987.16062499999</v>
      </c>
      <c r="AM86" s="51">
        <f>AL86*12/1000</f>
        <v>2399.8459274999996</v>
      </c>
      <c r="AN86" s="221">
        <f>SUM(M86-X86)</f>
        <v>18</v>
      </c>
    </row>
    <row r="87" spans="1:40" s="2" customFormat="1" ht="38.25">
      <c r="A87" s="64">
        <v>67</v>
      </c>
      <c r="B87" s="65" t="s">
        <v>140</v>
      </c>
      <c r="C87" s="68" t="s">
        <v>158</v>
      </c>
      <c r="D87" s="25" t="s">
        <v>37</v>
      </c>
      <c r="E87" s="28">
        <f>(N87/16)+(P87/16)</f>
        <v>1</v>
      </c>
      <c r="F87" s="63" t="s">
        <v>180</v>
      </c>
      <c r="G87" s="25"/>
      <c r="H87" s="208" t="s">
        <v>358</v>
      </c>
      <c r="I87" s="140">
        <v>4.0999999999999996</v>
      </c>
      <c r="J87" s="51">
        <v>17697</v>
      </c>
      <c r="K87" s="26">
        <v>1.75</v>
      </c>
      <c r="L87" s="51">
        <f>K87*J87*I87</f>
        <v>126975.97499999999</v>
      </c>
      <c r="M87" s="27">
        <f>N87+P87</f>
        <v>16</v>
      </c>
      <c r="N87" s="75">
        <v>4</v>
      </c>
      <c r="O87" s="51">
        <f>L87/16*N87</f>
        <v>31743.993749999998</v>
      </c>
      <c r="P87" s="77">
        <v>12</v>
      </c>
      <c r="Q87" s="51">
        <f>L87/16*P87</f>
        <v>95231.981249999997</v>
      </c>
      <c r="R87" s="27"/>
      <c r="S87" s="51">
        <f>R87+Q87+O87</f>
        <v>126975.97499999999</v>
      </c>
      <c r="T87" s="51">
        <f>S87*10%</f>
        <v>12697.5975</v>
      </c>
      <c r="U87" s="51"/>
      <c r="V87" s="79"/>
      <c r="W87" s="51">
        <f>(J87/16*V87*20%)</f>
        <v>0</v>
      </c>
      <c r="X87" s="79"/>
      <c r="Y87" s="39"/>
      <c r="Z87" s="51"/>
      <c r="AA87" s="55"/>
      <c r="AB87" s="51"/>
      <c r="AC87" s="51">
        <f>S87*30%</f>
        <v>38092.792499999996</v>
      </c>
      <c r="AD87" s="28">
        <v>16</v>
      </c>
      <c r="AE87" s="51">
        <f>J87/16*40%*AD87</f>
        <v>7078.8</v>
      </c>
      <c r="AF87" s="51"/>
      <c r="AG87" s="197"/>
      <c r="AH87" s="51"/>
      <c r="AI87" s="51"/>
      <c r="AJ87" s="51"/>
      <c r="AK87" s="51"/>
      <c r="AL87" s="51">
        <f>AJ87+AI87+AH87+AG87+AF87+AE87+AC87+AB87+AA87+Z87+W87+T87+S87+AK87</f>
        <v>184845.16499999998</v>
      </c>
      <c r="AM87" s="51">
        <f>AL87*12/1000</f>
        <v>2218.1419799999994</v>
      </c>
      <c r="AN87" s="221">
        <f>SUM(M87-X87)</f>
        <v>16</v>
      </c>
    </row>
    <row r="88" spans="1:40" s="2" customFormat="1" ht="38.25">
      <c r="A88" s="64">
        <v>68</v>
      </c>
      <c r="B88" s="217" t="s">
        <v>141</v>
      </c>
      <c r="C88" s="218" t="s">
        <v>173</v>
      </c>
      <c r="D88" s="25" t="s">
        <v>37</v>
      </c>
      <c r="E88" s="28">
        <f>(N88/16)+(P88/16)</f>
        <v>1</v>
      </c>
      <c r="F88" s="219" t="s">
        <v>180</v>
      </c>
      <c r="G88" s="25"/>
      <c r="H88" s="220" t="s">
        <v>454</v>
      </c>
      <c r="I88" s="140">
        <v>4.33</v>
      </c>
      <c r="J88" s="51">
        <v>17697</v>
      </c>
      <c r="K88" s="26">
        <v>1.75</v>
      </c>
      <c r="L88" s="51">
        <f>K88*J88*I88</f>
        <v>134099.01750000002</v>
      </c>
      <c r="M88" s="27">
        <f>N88+P88</f>
        <v>16</v>
      </c>
      <c r="N88" s="75">
        <v>4</v>
      </c>
      <c r="O88" s="51">
        <f>L88/16*N88</f>
        <v>33524.754375000004</v>
      </c>
      <c r="P88" s="77">
        <v>12</v>
      </c>
      <c r="Q88" s="51">
        <f>L88/16*P88</f>
        <v>100574.26312500001</v>
      </c>
      <c r="R88" s="27"/>
      <c r="S88" s="51">
        <f>R88+Q88+O88</f>
        <v>134099.01750000002</v>
      </c>
      <c r="T88" s="51">
        <f>S88*10%</f>
        <v>13409.901750000003</v>
      </c>
      <c r="U88" s="51"/>
      <c r="V88" s="79"/>
      <c r="W88" s="51">
        <f>(J88/16*V88*20%)</f>
        <v>0</v>
      </c>
      <c r="X88" s="79">
        <v>16</v>
      </c>
      <c r="Y88" s="39">
        <v>0.5</v>
      </c>
      <c r="Z88" s="51">
        <f>J88/16*X88*Y88</f>
        <v>8848.5</v>
      </c>
      <c r="AA88" s="55"/>
      <c r="AB88" s="51"/>
      <c r="AC88" s="51">
        <f>S88*30%</f>
        <v>40229.705250000006</v>
      </c>
      <c r="AD88" s="28">
        <v>16</v>
      </c>
      <c r="AE88" s="51">
        <f>J88/16*40%*AD88</f>
        <v>7078.8</v>
      </c>
      <c r="AF88" s="51"/>
      <c r="AG88" s="197"/>
      <c r="AH88" s="51"/>
      <c r="AI88" s="51"/>
      <c r="AJ88" s="51"/>
      <c r="AK88" s="51"/>
      <c r="AL88" s="51">
        <f>AJ88+AI88+AH88+AG88+AF88+AE88+AC88+AB88+AA88+Z88+W88+T88+S88+AK88</f>
        <v>203665.92450000002</v>
      </c>
      <c r="AM88" s="51">
        <f>AL88*12/1000</f>
        <v>2443.9910940000004</v>
      </c>
      <c r="AN88" s="221">
        <f>SUM(M88-X88)</f>
        <v>0</v>
      </c>
    </row>
    <row r="89" spans="1:40" s="38" customFormat="1" ht="26.25" customHeight="1">
      <c r="A89" s="36"/>
      <c r="B89" s="37" t="s">
        <v>71</v>
      </c>
      <c r="C89" s="37"/>
      <c r="D89" s="36"/>
      <c r="E89" s="192">
        <f>SUM(E21:E88)</f>
        <v>62.9375</v>
      </c>
      <c r="F89" s="36"/>
      <c r="G89" s="36"/>
      <c r="H89" s="199"/>
      <c r="I89" s="141"/>
      <c r="J89" s="36"/>
      <c r="K89" s="36"/>
      <c r="L89" s="36">
        <f t="shared" ref="L89:S89" si="16">SUM(L21:L88)</f>
        <v>10231786.005000001</v>
      </c>
      <c r="M89" s="36">
        <f t="shared" si="16"/>
        <v>1007</v>
      </c>
      <c r="N89" s="36">
        <f t="shared" si="16"/>
        <v>731</v>
      </c>
      <c r="O89" s="36">
        <f t="shared" si="16"/>
        <v>6889162.819218751</v>
      </c>
      <c r="P89" s="36">
        <f t="shared" si="16"/>
        <v>276</v>
      </c>
      <c r="Q89" s="36">
        <f t="shared" si="16"/>
        <v>2655230.2284375001</v>
      </c>
      <c r="R89" s="36">
        <f t="shared" si="16"/>
        <v>0</v>
      </c>
      <c r="S89" s="36">
        <f t="shared" si="16"/>
        <v>9544393.0476562511</v>
      </c>
      <c r="T89" s="36">
        <f>S89*10%</f>
        <v>954439.30476562516</v>
      </c>
      <c r="U89" s="51"/>
      <c r="V89" s="36">
        <f t="shared" ref="V89:AK89" si="17">SUM(V21:V88)</f>
        <v>0</v>
      </c>
      <c r="W89" s="36">
        <f t="shared" si="17"/>
        <v>0</v>
      </c>
      <c r="X89" s="36">
        <f t="shared" si="17"/>
        <v>395</v>
      </c>
      <c r="Y89" s="36">
        <f t="shared" si="17"/>
        <v>14.25</v>
      </c>
      <c r="Z89" s="36">
        <f t="shared" si="17"/>
        <v>214023.09375</v>
      </c>
      <c r="AA89" s="36">
        <f t="shared" si="17"/>
        <v>367560</v>
      </c>
      <c r="AB89" s="36">
        <f t="shared" si="17"/>
        <v>247758</v>
      </c>
      <c r="AC89" s="36">
        <f t="shared" si="17"/>
        <v>2863317.9142968766</v>
      </c>
      <c r="AD89" s="36">
        <f t="shared" si="17"/>
        <v>525</v>
      </c>
      <c r="AE89" s="36">
        <f t="shared" si="17"/>
        <v>232273.12499999988</v>
      </c>
      <c r="AF89" s="36">
        <f t="shared" si="17"/>
        <v>24775.800000000003</v>
      </c>
      <c r="AG89" s="36">
        <f t="shared" si="17"/>
        <v>349135.54101562494</v>
      </c>
      <c r="AH89" s="36">
        <f t="shared" si="17"/>
        <v>448738.12823437504</v>
      </c>
      <c r="AI89" s="36">
        <f t="shared" si="17"/>
        <v>1343940.0436875001</v>
      </c>
      <c r="AJ89" s="36">
        <f t="shared" si="17"/>
        <v>344228.77125000005</v>
      </c>
      <c r="AK89" s="36">
        <f t="shared" si="17"/>
        <v>81140.74500000001</v>
      </c>
      <c r="AL89" s="36">
        <f>SUM(AL21:AL88)</f>
        <v>17015723.514656246</v>
      </c>
      <c r="AM89" s="36">
        <f>SUM(AM21:AM88)</f>
        <v>204188.682175875</v>
      </c>
      <c r="AN89" s="191">
        <v>204804</v>
      </c>
    </row>
    <row r="90" spans="1:40" s="38" customFormat="1" ht="26.25" customHeight="1">
      <c r="A90" s="170"/>
      <c r="B90" s="171"/>
      <c r="C90" s="171"/>
      <c r="D90" s="170"/>
      <c r="E90" s="170"/>
      <c r="F90" s="170"/>
      <c r="G90" s="170"/>
      <c r="H90" s="200"/>
      <c r="I90" s="172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52"/>
      <c r="U90" s="52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</row>
    <row r="91" spans="1:40" s="176" customFormat="1" ht="18" customHeight="1">
      <c r="A91" s="174"/>
      <c r="B91" s="173" t="s">
        <v>10</v>
      </c>
      <c r="D91" s="173"/>
      <c r="H91" s="209"/>
      <c r="I91" s="177"/>
      <c r="J91" s="176" t="s">
        <v>336</v>
      </c>
      <c r="K91" s="174"/>
      <c r="L91" s="178"/>
      <c r="M91" s="179"/>
      <c r="N91" s="179"/>
      <c r="O91" s="178"/>
      <c r="P91" s="179"/>
      <c r="Q91" s="178"/>
      <c r="R91" s="179"/>
      <c r="S91" s="178"/>
      <c r="T91" s="179"/>
      <c r="U91" s="179"/>
      <c r="V91" s="179"/>
      <c r="W91" s="178"/>
      <c r="X91" s="179"/>
      <c r="Y91" s="180"/>
      <c r="Z91" s="178"/>
      <c r="AA91" s="178"/>
      <c r="AB91" s="178"/>
      <c r="AC91" s="179"/>
      <c r="AD91" s="179"/>
      <c r="AE91" s="179"/>
      <c r="AF91" s="179"/>
      <c r="AG91" s="179"/>
      <c r="AH91" s="179"/>
      <c r="AI91" s="179"/>
      <c r="AJ91" s="179"/>
      <c r="AK91" s="179"/>
      <c r="AL91" s="181"/>
      <c r="AM91" s="182"/>
    </row>
    <row r="92" spans="1:40" s="176" customFormat="1" ht="18" customHeight="1">
      <c r="A92" s="175"/>
      <c r="B92" s="173"/>
      <c r="D92" s="173"/>
      <c r="H92" s="210"/>
      <c r="I92" s="184"/>
      <c r="J92" s="176" t="s">
        <v>337</v>
      </c>
      <c r="K92" s="175"/>
      <c r="L92" s="182"/>
      <c r="M92" s="185"/>
      <c r="N92" s="185"/>
      <c r="O92" s="186"/>
      <c r="P92" s="185"/>
      <c r="Q92" s="186"/>
      <c r="R92" s="185"/>
      <c r="S92" s="186"/>
      <c r="T92" s="185"/>
      <c r="U92" s="185"/>
      <c r="V92" s="185"/>
      <c r="W92" s="186"/>
      <c r="X92" s="185"/>
      <c r="Y92" s="187"/>
      <c r="Z92" s="182"/>
      <c r="AA92" s="182"/>
      <c r="AB92" s="182"/>
      <c r="AF92" s="188"/>
      <c r="AG92" s="188"/>
      <c r="AH92" s="188"/>
      <c r="AI92" s="188"/>
      <c r="AJ92" s="188"/>
      <c r="AK92" s="188"/>
      <c r="AL92" s="182"/>
      <c r="AM92" s="182"/>
    </row>
    <row r="93" spans="1:40" s="176" customFormat="1" ht="18" customHeight="1">
      <c r="B93" s="173"/>
      <c r="D93" s="173"/>
      <c r="H93" s="211"/>
      <c r="I93" s="184"/>
      <c r="J93" s="176" t="s">
        <v>338</v>
      </c>
      <c r="K93" s="175"/>
      <c r="L93" s="182"/>
      <c r="M93" s="189"/>
      <c r="O93" s="182"/>
      <c r="Q93" s="182"/>
      <c r="S93" s="182"/>
      <c r="W93" s="182"/>
      <c r="Y93" s="190"/>
      <c r="Z93" s="182"/>
      <c r="AA93" s="182"/>
      <c r="AB93" s="182"/>
      <c r="AL93" s="182"/>
      <c r="AM93" s="182"/>
    </row>
    <row r="94" spans="1:40" s="176" customFormat="1" ht="18" customHeight="1">
      <c r="B94" s="173"/>
      <c r="D94" s="173"/>
      <c r="H94" s="211"/>
      <c r="I94" s="184"/>
      <c r="J94" s="176" t="s">
        <v>339</v>
      </c>
      <c r="K94" s="175"/>
      <c r="L94" s="182"/>
      <c r="M94" s="188"/>
      <c r="O94" s="182"/>
      <c r="P94" s="183"/>
      <c r="Q94" s="182"/>
      <c r="S94" s="182"/>
      <c r="W94" s="182"/>
      <c r="Y94" s="190"/>
      <c r="Z94" s="182"/>
      <c r="AA94" s="182"/>
      <c r="AB94" s="182"/>
      <c r="AL94" s="182"/>
      <c r="AM94" s="182"/>
    </row>
    <row r="95" spans="1:40" s="176" customFormat="1" ht="18" customHeight="1">
      <c r="B95" s="173"/>
      <c r="D95" s="173"/>
      <c r="H95" s="211"/>
      <c r="I95" s="184"/>
      <c r="J95" s="176" t="s">
        <v>340</v>
      </c>
      <c r="K95" s="175"/>
      <c r="L95" s="182"/>
      <c r="M95" s="188"/>
      <c r="O95" s="182"/>
      <c r="P95" s="183"/>
      <c r="Q95" s="182"/>
      <c r="S95" s="182"/>
      <c r="W95" s="182"/>
      <c r="Y95" s="190"/>
      <c r="Z95" s="182"/>
      <c r="AA95" s="182"/>
      <c r="AB95" s="182"/>
      <c r="AL95" s="182"/>
      <c r="AM95" s="182"/>
    </row>
    <row r="96" spans="1:40" s="2" customFormat="1" ht="15.75">
      <c r="A96" s="3"/>
      <c r="B96" s="35"/>
      <c r="C96" s="35"/>
      <c r="D96" s="6"/>
      <c r="E96" s="6"/>
      <c r="F96" s="6"/>
      <c r="G96" s="6"/>
      <c r="H96" s="212"/>
      <c r="I96" s="142"/>
      <c r="J96" s="21"/>
      <c r="K96" s="32"/>
      <c r="L96" s="21"/>
      <c r="M96" s="6"/>
      <c r="N96" s="6"/>
      <c r="O96" s="21"/>
      <c r="P96" s="6"/>
      <c r="Q96" s="21"/>
      <c r="R96" s="6"/>
      <c r="S96" s="21"/>
      <c r="T96" s="6"/>
      <c r="U96" s="6"/>
      <c r="V96" s="3"/>
      <c r="W96" s="20"/>
      <c r="X96" s="3"/>
      <c r="Y96" s="42"/>
      <c r="Z96" s="20"/>
      <c r="AA96" s="20"/>
      <c r="AB96" s="20"/>
      <c r="AC96" s="3"/>
      <c r="AD96" s="3"/>
      <c r="AE96" s="3"/>
      <c r="AF96" s="3"/>
      <c r="AG96" s="3"/>
      <c r="AH96" s="3"/>
      <c r="AI96" s="3"/>
      <c r="AJ96" s="3"/>
      <c r="AK96" s="3"/>
      <c r="AL96" s="20"/>
      <c r="AM96" s="48"/>
    </row>
    <row r="97" spans="1:39" s="2" customFormat="1" ht="15.75">
      <c r="A97" s="3"/>
      <c r="B97" s="35"/>
      <c r="C97" s="35"/>
      <c r="D97" s="6"/>
      <c r="E97" s="6"/>
      <c r="F97" s="6"/>
      <c r="G97" s="6"/>
      <c r="H97" s="212"/>
      <c r="I97" s="142"/>
      <c r="J97" s="21"/>
      <c r="K97" s="32"/>
      <c r="L97" s="21"/>
      <c r="M97" s="6"/>
      <c r="N97" s="6"/>
      <c r="O97" s="21"/>
      <c r="P97" s="7"/>
      <c r="Q97" s="21"/>
      <c r="R97" s="6"/>
      <c r="S97" s="21"/>
      <c r="T97" s="6"/>
      <c r="U97" s="6"/>
      <c r="V97" s="3"/>
      <c r="W97" s="20"/>
      <c r="X97" s="3"/>
      <c r="Y97" s="42"/>
      <c r="Z97" s="20"/>
      <c r="AA97" s="20"/>
      <c r="AB97" s="20"/>
      <c r="AC97" s="3"/>
      <c r="AD97" s="3"/>
      <c r="AE97" s="3"/>
      <c r="AF97" s="3"/>
      <c r="AG97" s="3"/>
      <c r="AH97" s="3"/>
      <c r="AI97" s="3"/>
      <c r="AJ97" s="3"/>
      <c r="AK97" s="3"/>
      <c r="AL97" s="20"/>
      <c r="AM97" s="48"/>
    </row>
    <row r="98" spans="1:39" s="2" customFormat="1" ht="28.5" customHeight="1">
      <c r="A98" s="3"/>
      <c r="B98" s="35"/>
      <c r="C98" s="35"/>
      <c r="D98" s="6"/>
      <c r="E98" s="6"/>
      <c r="F98" s="6"/>
      <c r="G98" s="6"/>
      <c r="H98" s="212"/>
      <c r="I98" s="142"/>
      <c r="J98" s="21"/>
      <c r="K98" s="32"/>
      <c r="L98" s="21"/>
      <c r="M98" s="8"/>
      <c r="N98" s="6"/>
      <c r="O98" s="21"/>
      <c r="P98" s="7"/>
      <c r="Q98" s="21"/>
      <c r="R98" s="6"/>
      <c r="S98" s="21"/>
      <c r="T98" s="6"/>
      <c r="U98" s="6"/>
      <c r="V98" s="3"/>
      <c r="W98" s="20"/>
      <c r="X98" s="3"/>
      <c r="Y98" s="42"/>
      <c r="Z98" s="20"/>
      <c r="AA98" s="20"/>
      <c r="AB98" s="20"/>
      <c r="AC98" s="3"/>
      <c r="AD98" s="3"/>
      <c r="AE98" s="3"/>
      <c r="AF98" s="3"/>
      <c r="AG98" s="3"/>
      <c r="AH98" s="3"/>
      <c r="AI98" s="3"/>
      <c r="AJ98" s="3"/>
      <c r="AK98" s="3"/>
      <c r="AL98" s="20"/>
      <c r="AM98" s="48"/>
    </row>
    <row r="99" spans="1:39" s="2" customFormat="1" ht="15.75">
      <c r="A99" s="1"/>
      <c r="B99" s="35"/>
      <c r="C99" s="35"/>
      <c r="D99" s="6"/>
      <c r="E99" s="6"/>
      <c r="F99" s="6"/>
      <c r="G99" s="6"/>
      <c r="H99" s="212"/>
      <c r="I99" s="142"/>
      <c r="J99" s="21"/>
      <c r="K99" s="32"/>
      <c r="L99" s="21"/>
      <c r="M99" s="9"/>
      <c r="N99" s="6"/>
      <c r="O99" s="21"/>
      <c r="P99" s="7"/>
      <c r="Q99" s="21"/>
      <c r="R99" s="6"/>
      <c r="S99" s="21"/>
      <c r="T99" s="6"/>
      <c r="U99" s="6"/>
      <c r="V99" s="3"/>
      <c r="W99" s="20"/>
      <c r="X99" s="3"/>
      <c r="Y99" s="42"/>
      <c r="Z99" s="20"/>
      <c r="AA99" s="20"/>
      <c r="AB99" s="20"/>
      <c r="AC99" s="3"/>
      <c r="AD99" s="3"/>
      <c r="AE99" s="3"/>
      <c r="AF99" s="3"/>
      <c r="AG99" s="3"/>
      <c r="AH99" s="3"/>
      <c r="AI99" s="3"/>
      <c r="AJ99" s="3"/>
      <c r="AK99" s="3"/>
      <c r="AL99" s="20"/>
      <c r="AM99" s="48"/>
    </row>
    <row r="100" spans="1:39" s="2" customFormat="1" ht="15.75">
      <c r="A100" s="10"/>
      <c r="B100" s="35"/>
      <c r="C100" s="35"/>
      <c r="D100" s="6"/>
      <c r="E100" s="6"/>
      <c r="F100" s="6"/>
      <c r="G100" s="6"/>
      <c r="H100" s="213"/>
      <c r="I100" s="142"/>
      <c r="J100" s="21"/>
      <c r="K100" s="32"/>
      <c r="L100" s="21"/>
      <c r="M100" s="9"/>
      <c r="N100" s="6"/>
      <c r="O100" s="21"/>
      <c r="P100" s="6"/>
      <c r="Q100" s="21"/>
      <c r="R100" s="6"/>
      <c r="S100" s="21"/>
      <c r="T100" s="6"/>
      <c r="U100" s="6"/>
      <c r="W100" s="48"/>
      <c r="Y100" s="41"/>
      <c r="Z100" s="48"/>
      <c r="AA100" s="48"/>
      <c r="AB100" s="48"/>
      <c r="AL100" s="48"/>
      <c r="AM100" s="48"/>
    </row>
    <row r="101" spans="1:39" s="2" customFormat="1" ht="15">
      <c r="A101" s="10"/>
      <c r="B101" s="34"/>
      <c r="C101" s="34"/>
      <c r="H101" s="213"/>
      <c r="I101" s="143"/>
      <c r="J101" s="48"/>
      <c r="K101" s="30"/>
      <c r="L101" s="48"/>
      <c r="M101" s="11"/>
      <c r="O101" s="48"/>
      <c r="Q101" s="48"/>
      <c r="S101" s="48"/>
      <c r="W101" s="48"/>
      <c r="Y101" s="41"/>
      <c r="Z101" s="48"/>
      <c r="AA101" s="48"/>
      <c r="AB101" s="48"/>
      <c r="AL101" s="48"/>
      <c r="AM101" s="48"/>
    </row>
    <row r="102" spans="1:39" s="2" customFormat="1" ht="15">
      <c r="A102" s="10"/>
      <c r="B102" s="34"/>
      <c r="C102" s="34"/>
      <c r="H102" s="213"/>
      <c r="I102" s="143"/>
      <c r="J102" s="48"/>
      <c r="K102" s="30"/>
      <c r="L102" s="48"/>
      <c r="M102" s="12"/>
      <c r="O102" s="48"/>
      <c r="Q102" s="48"/>
      <c r="S102" s="48"/>
      <c r="W102" s="48"/>
      <c r="Y102" s="41"/>
      <c r="Z102" s="48"/>
      <c r="AA102" s="48"/>
      <c r="AB102" s="48"/>
      <c r="AL102" s="48"/>
      <c r="AM102" s="48"/>
    </row>
    <row r="103" spans="1:39" s="2" customFormat="1" ht="15">
      <c r="B103" s="34"/>
      <c r="C103" s="34"/>
      <c r="H103" s="212"/>
      <c r="I103" s="143"/>
      <c r="J103" s="48"/>
      <c r="K103" s="30"/>
      <c r="L103" s="48"/>
      <c r="O103" s="48"/>
      <c r="Q103" s="48"/>
      <c r="S103" s="48"/>
      <c r="W103" s="48"/>
      <c r="Y103" s="41"/>
      <c r="Z103" s="48"/>
      <c r="AA103" s="48"/>
      <c r="AB103" s="48"/>
      <c r="AL103" s="48"/>
      <c r="AM103" s="48"/>
    </row>
  </sheetData>
  <sheetProtection password="C7B7" sheet="1"/>
  <autoFilter ref="A20:AO89"/>
  <mergeCells count="31">
    <mergeCell ref="C6:F6"/>
    <mergeCell ref="B7:E7"/>
    <mergeCell ref="H19:H20"/>
    <mergeCell ref="I19:I20"/>
    <mergeCell ref="J19:J20"/>
    <mergeCell ref="AM19:AM20"/>
    <mergeCell ref="B19:B20"/>
    <mergeCell ref="AG19:AJ19"/>
    <mergeCell ref="A16:AM16"/>
    <mergeCell ref="L19:L20"/>
    <mergeCell ref="AF19:AF20"/>
    <mergeCell ref="AD18:AL18"/>
    <mergeCell ref="V19:Z19"/>
    <mergeCell ref="C19:C20"/>
    <mergeCell ref="AB19:AB20"/>
    <mergeCell ref="AE19:AE20"/>
    <mergeCell ref="E19:E20"/>
    <mergeCell ref="K19:K20"/>
    <mergeCell ref="S19:S20"/>
    <mergeCell ref="AC19:AC20"/>
    <mergeCell ref="R19:R20"/>
    <mergeCell ref="AD19:AD20"/>
    <mergeCell ref="AL19:AL20"/>
    <mergeCell ref="AA19:AA20"/>
    <mergeCell ref="T19:T20"/>
    <mergeCell ref="G19:G20"/>
    <mergeCell ref="A19:A20"/>
    <mergeCell ref="D19:D20"/>
    <mergeCell ref="N19:Q19"/>
    <mergeCell ref="F19:F20"/>
    <mergeCell ref="M19:M20"/>
  </mergeCells>
  <pageMargins left="0" right="0" top="0.39370078740157483" bottom="0.39370078740157483" header="0.31496062992125984" footer="0.31496062992125984"/>
  <pageSetup paperSize="9" scale="43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4:AM68"/>
  <sheetViews>
    <sheetView view="pageBreakPreview" topLeftCell="A12" zoomScale="55" zoomScaleNormal="55" zoomScaleSheetLayoutView="55" workbookViewId="0">
      <pane ySplit="5" topLeftCell="A59" activePane="bottomLeft" state="frozen"/>
      <selection activeCell="A12" sqref="A12"/>
      <selection pane="bottomLeft" activeCell="H34" sqref="H34:H35"/>
    </sheetView>
  </sheetViews>
  <sheetFormatPr defaultColWidth="6.140625" defaultRowHeight="12.75"/>
  <cols>
    <col min="1" max="1" width="6.140625" style="303" customWidth="1"/>
    <col min="2" max="2" width="20.85546875" style="304" customWidth="1"/>
    <col min="3" max="3" width="18.28515625" style="308" customWidth="1"/>
    <col min="4" max="4" width="12.5703125" style="305" customWidth="1"/>
    <col min="5" max="5" width="9.28515625" style="303" customWidth="1"/>
    <col min="6" max="6" width="9.5703125" style="303" customWidth="1"/>
    <col min="7" max="7" width="8.85546875" style="303" customWidth="1"/>
    <col min="8" max="8" width="7" style="307" customWidth="1"/>
    <col min="9" max="9" width="10.7109375" style="306" customWidth="1"/>
    <col min="10" max="10" width="8.42578125" style="303" customWidth="1"/>
    <col min="11" max="11" width="11.42578125" style="306" customWidth="1"/>
    <col min="12" max="12" width="8.85546875" style="306" hidden="1" customWidth="1"/>
    <col min="13" max="13" width="10.5703125" style="306" customWidth="1"/>
    <col min="14" max="14" width="10.28515625" style="306" customWidth="1"/>
    <col min="15" max="15" width="6.140625" style="306" hidden="1" customWidth="1"/>
    <col min="16" max="16" width="10.5703125" style="306" customWidth="1"/>
    <col min="17" max="17" width="9.5703125" style="306" customWidth="1"/>
    <col min="18" max="18" width="9.7109375" style="306" customWidth="1"/>
    <col min="19" max="19" width="10.28515625" style="306" customWidth="1"/>
    <col min="20" max="20" width="9.140625" style="306" customWidth="1"/>
    <col min="21" max="21" width="11.28515625" style="306" customWidth="1"/>
    <col min="22" max="22" width="10.140625" style="306" customWidth="1"/>
    <col min="23" max="23" width="11.7109375" style="306" customWidth="1"/>
    <col min="24" max="24" width="12.42578125" style="306" customWidth="1"/>
    <col min="25" max="25" width="12.140625" style="306" customWidth="1"/>
    <col min="26" max="26" width="13" style="306" customWidth="1"/>
    <col min="27" max="27" width="6.140625" style="303" customWidth="1"/>
    <col min="28" max="28" width="7.28515625" style="303" bestFit="1" customWidth="1"/>
    <col min="29" max="16384" width="6.140625" style="303"/>
  </cols>
  <sheetData>
    <row r="4" spans="1:39" ht="14.25" customHeight="1">
      <c r="A4" s="241" t="s">
        <v>617</v>
      </c>
      <c r="B4" s="245"/>
      <c r="C4" s="240"/>
      <c r="D4" s="240"/>
      <c r="E4" s="254"/>
      <c r="F4" s="254"/>
      <c r="G4" s="237"/>
      <c r="H4" s="281"/>
      <c r="I4" s="237"/>
      <c r="J4" s="237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41" t="s">
        <v>571</v>
      </c>
      <c r="V4" s="237"/>
      <c r="W4" s="237"/>
      <c r="X4" s="240"/>
      <c r="Y4" s="254"/>
      <c r="Z4" s="254"/>
    </row>
    <row r="5" spans="1:39" ht="21" customHeight="1">
      <c r="A5" s="236" t="s">
        <v>572</v>
      </c>
      <c r="B5" s="245"/>
      <c r="C5" s="240"/>
      <c r="D5" s="240"/>
      <c r="E5" s="254"/>
      <c r="F5" s="254"/>
      <c r="G5" s="237"/>
      <c r="H5" s="281"/>
      <c r="I5" s="237"/>
      <c r="J5" s="237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36" t="s">
        <v>572</v>
      </c>
      <c r="V5" s="237"/>
      <c r="W5" s="237"/>
      <c r="X5" s="240"/>
      <c r="Y5" s="254"/>
      <c r="Z5" s="254"/>
    </row>
    <row r="6" spans="1:39" ht="18" customHeight="1">
      <c r="A6" s="241" t="s">
        <v>634</v>
      </c>
      <c r="B6" s="245"/>
      <c r="C6" s="237"/>
      <c r="D6" s="237"/>
      <c r="E6" s="254"/>
      <c r="F6" s="254"/>
      <c r="G6" s="237"/>
      <c r="H6" s="281"/>
      <c r="I6" s="237"/>
      <c r="J6" s="237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41" t="s">
        <v>632</v>
      </c>
      <c r="V6" s="237"/>
      <c r="W6" s="237"/>
      <c r="X6" s="237"/>
      <c r="Y6" s="254"/>
      <c r="Z6" s="254"/>
    </row>
    <row r="7" spans="1:39" ht="18" customHeight="1">
      <c r="A7" s="241" t="s">
        <v>633</v>
      </c>
      <c r="B7" s="245"/>
      <c r="C7" s="237"/>
      <c r="D7" s="237"/>
      <c r="E7" s="254"/>
      <c r="F7" s="254"/>
      <c r="G7" s="237"/>
      <c r="H7" s="281"/>
      <c r="I7" s="237"/>
      <c r="J7" s="237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41" t="s">
        <v>635</v>
      </c>
      <c r="V7" s="237"/>
      <c r="W7" s="237"/>
      <c r="X7" s="237"/>
      <c r="Y7" s="254"/>
      <c r="Z7" s="254"/>
    </row>
    <row r="8" spans="1:39" ht="35.25" customHeight="1">
      <c r="A8" s="241"/>
      <c r="B8" s="237"/>
      <c r="C8" s="237"/>
      <c r="D8" s="237"/>
      <c r="E8" s="254"/>
      <c r="F8" s="254"/>
      <c r="G8" s="237"/>
      <c r="H8" s="281"/>
      <c r="I8" s="237"/>
      <c r="J8" s="237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41" t="s">
        <v>623</v>
      </c>
      <c r="V8" s="237"/>
      <c r="W8" s="237"/>
      <c r="X8" s="237"/>
      <c r="Y8" s="254"/>
      <c r="Z8" s="254"/>
    </row>
    <row r="9" spans="1:39" ht="5.25" customHeight="1">
      <c r="A9" s="237"/>
      <c r="B9" s="156"/>
      <c r="C9" s="279"/>
      <c r="D9" s="320"/>
      <c r="E9" s="321"/>
      <c r="F9" s="254"/>
      <c r="G9" s="237"/>
      <c r="H9" s="281"/>
      <c r="I9" s="237"/>
      <c r="J9" s="237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41"/>
      <c r="V9" s="237"/>
      <c r="W9" s="237"/>
      <c r="X9" s="237"/>
      <c r="Y9" s="254"/>
      <c r="Z9" s="254"/>
    </row>
    <row r="10" spans="1:39" ht="14.25" hidden="1" customHeight="1">
      <c r="A10" s="237"/>
      <c r="B10" s="156"/>
      <c r="C10" s="279"/>
      <c r="D10" s="320"/>
      <c r="E10" s="321"/>
      <c r="F10" s="254"/>
      <c r="G10" s="237"/>
      <c r="H10" s="281"/>
      <c r="I10" s="237"/>
      <c r="J10" s="237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88"/>
      <c r="V10" s="254"/>
      <c r="W10" s="254"/>
      <c r="X10" s="254"/>
      <c r="Y10" s="254"/>
      <c r="Z10" s="254"/>
    </row>
    <row r="11" spans="1:39" ht="13.5" hidden="1" customHeight="1">
      <c r="A11" s="237"/>
      <c r="B11" s="156"/>
      <c r="C11" s="279"/>
      <c r="D11" s="320"/>
      <c r="E11" s="321"/>
      <c r="F11" s="254"/>
      <c r="G11" s="237"/>
      <c r="H11" s="281"/>
      <c r="I11" s="237"/>
      <c r="J11" s="237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88"/>
      <c r="V11" s="254"/>
      <c r="W11" s="254"/>
      <c r="X11" s="254"/>
      <c r="Y11" s="254"/>
      <c r="Z11" s="254"/>
    </row>
    <row r="12" spans="1:39" ht="39.6" customHeight="1">
      <c r="A12" s="550" t="s">
        <v>643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</row>
    <row r="13" spans="1:39" ht="12" customHeight="1">
      <c r="A13" s="237"/>
      <c r="B13" s="279"/>
      <c r="C13" s="156"/>
      <c r="D13" s="320"/>
      <c r="E13" s="237"/>
      <c r="F13" s="237"/>
      <c r="G13" s="237"/>
      <c r="H13" s="281"/>
      <c r="I13" s="254"/>
      <c r="J13" s="237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</row>
    <row r="14" spans="1:39" s="161" customFormat="1" ht="28.5" customHeight="1">
      <c r="A14" s="551" t="s">
        <v>22</v>
      </c>
      <c r="B14" s="551" t="s">
        <v>0</v>
      </c>
      <c r="C14" s="551" t="s">
        <v>1</v>
      </c>
      <c r="D14" s="551" t="s">
        <v>59</v>
      </c>
      <c r="E14" s="551" t="s">
        <v>2</v>
      </c>
      <c r="F14" s="551" t="s">
        <v>35</v>
      </c>
      <c r="G14" s="551" t="s">
        <v>36</v>
      </c>
      <c r="H14" s="553" t="s">
        <v>3</v>
      </c>
      <c r="I14" s="544" t="s">
        <v>53</v>
      </c>
      <c r="J14" s="551" t="s">
        <v>51</v>
      </c>
      <c r="K14" s="544" t="s">
        <v>4</v>
      </c>
      <c r="L14" s="544" t="s">
        <v>52</v>
      </c>
      <c r="M14" s="544" t="s">
        <v>42</v>
      </c>
      <c r="N14" s="546" t="s">
        <v>44</v>
      </c>
      <c r="O14" s="547"/>
      <c r="P14" s="547"/>
      <c r="Q14" s="547"/>
      <c r="R14" s="547"/>
      <c r="S14" s="547"/>
      <c r="T14" s="555" t="s">
        <v>44</v>
      </c>
      <c r="U14" s="555"/>
      <c r="V14" s="555"/>
      <c r="W14" s="555"/>
      <c r="X14" s="555"/>
      <c r="Y14" s="544" t="s">
        <v>66</v>
      </c>
      <c r="Z14" s="544" t="s">
        <v>67</v>
      </c>
    </row>
    <row r="15" spans="1:39" s="161" customFormat="1" ht="156" customHeight="1">
      <c r="A15" s="552"/>
      <c r="B15" s="552"/>
      <c r="C15" s="552"/>
      <c r="D15" s="552"/>
      <c r="E15" s="552"/>
      <c r="F15" s="552"/>
      <c r="G15" s="552"/>
      <c r="H15" s="554"/>
      <c r="I15" s="545"/>
      <c r="J15" s="552"/>
      <c r="K15" s="545"/>
      <c r="L15" s="545"/>
      <c r="M15" s="545"/>
      <c r="N15" s="326">
        <v>0.1</v>
      </c>
      <c r="O15" s="326" t="s">
        <v>73</v>
      </c>
      <c r="P15" s="327" t="s">
        <v>48</v>
      </c>
      <c r="Q15" s="327" t="s">
        <v>581</v>
      </c>
      <c r="R15" s="327" t="s">
        <v>55</v>
      </c>
      <c r="S15" s="327" t="s">
        <v>54</v>
      </c>
      <c r="T15" s="370" t="s">
        <v>45</v>
      </c>
      <c r="U15" s="328" t="s">
        <v>46</v>
      </c>
      <c r="V15" s="328" t="s">
        <v>49</v>
      </c>
      <c r="W15" s="328" t="s">
        <v>47</v>
      </c>
      <c r="X15" s="328" t="s">
        <v>614</v>
      </c>
      <c r="Y15" s="545"/>
      <c r="Z15" s="545"/>
    </row>
    <row r="16" spans="1:39" s="155" customFormat="1" ht="25.5" customHeight="1">
      <c r="A16" s="322">
        <v>1</v>
      </c>
      <c r="B16" s="322">
        <v>2</v>
      </c>
      <c r="C16" s="322">
        <v>3</v>
      </c>
      <c r="D16" s="322">
        <v>4</v>
      </c>
      <c r="E16" s="322">
        <v>5</v>
      </c>
      <c r="F16" s="322">
        <v>6</v>
      </c>
      <c r="G16" s="322">
        <v>7</v>
      </c>
      <c r="H16" s="322">
        <v>8</v>
      </c>
      <c r="I16" s="322">
        <v>9</v>
      </c>
      <c r="J16" s="322">
        <v>10</v>
      </c>
      <c r="K16" s="322">
        <v>11</v>
      </c>
      <c r="L16" s="322">
        <v>12</v>
      </c>
      <c r="M16" s="322">
        <v>13</v>
      </c>
      <c r="N16" s="322">
        <v>14</v>
      </c>
      <c r="O16" s="322">
        <v>15</v>
      </c>
      <c r="P16" s="322">
        <v>16</v>
      </c>
      <c r="Q16" s="322">
        <v>17</v>
      </c>
      <c r="R16" s="322">
        <v>18</v>
      </c>
      <c r="S16" s="322">
        <v>19</v>
      </c>
      <c r="T16" s="322">
        <v>21</v>
      </c>
      <c r="U16" s="322">
        <v>22</v>
      </c>
      <c r="V16" s="322">
        <v>23</v>
      </c>
      <c r="W16" s="322">
        <v>24</v>
      </c>
      <c r="X16" s="322">
        <v>25</v>
      </c>
      <c r="Y16" s="322">
        <v>26</v>
      </c>
      <c r="Z16" s="322">
        <v>27</v>
      </c>
    </row>
    <row r="17" spans="1:26" s="160" customFormat="1" ht="29.25" customHeight="1">
      <c r="A17" s="329"/>
      <c r="B17" s="329"/>
      <c r="C17" s="329"/>
      <c r="D17" s="330"/>
      <c r="E17" s="329">
        <f>SUM(E18:E62)</f>
        <v>46</v>
      </c>
      <c r="F17" s="329"/>
      <c r="G17" s="329"/>
      <c r="H17" s="329"/>
      <c r="I17" s="329"/>
      <c r="J17" s="329"/>
      <c r="K17" s="414">
        <f t="shared" ref="K17:X17" si="0">SUM(K18:K62)</f>
        <v>5091249.9300000006</v>
      </c>
      <c r="L17" s="414">
        <f t="shared" si="0"/>
        <v>0</v>
      </c>
      <c r="M17" s="414">
        <f t="shared" si="0"/>
        <v>738044.53650000005</v>
      </c>
      <c r="N17" s="414">
        <f t="shared" si="0"/>
        <v>582929.44664999982</v>
      </c>
      <c r="O17" s="414">
        <f t="shared" si="0"/>
        <v>0</v>
      </c>
      <c r="P17" s="414">
        <f t="shared" si="0"/>
        <v>21236</v>
      </c>
      <c r="Q17" s="414">
        <f t="shared" si="0"/>
        <v>0</v>
      </c>
      <c r="R17" s="414">
        <f t="shared" si="0"/>
        <v>0</v>
      </c>
      <c r="S17" s="414">
        <f t="shared" si="0"/>
        <v>85601</v>
      </c>
      <c r="T17" s="414">
        <f t="shared" si="0"/>
        <v>56807</v>
      </c>
      <c r="U17" s="414">
        <f t="shared" si="0"/>
        <v>86560.451249999984</v>
      </c>
      <c r="V17" s="414">
        <f t="shared" si="0"/>
        <v>107898.60900000001</v>
      </c>
      <c r="W17" s="414">
        <f t="shared" si="0"/>
        <v>0</v>
      </c>
      <c r="X17" s="414">
        <f t="shared" si="0"/>
        <v>286248.97499999998</v>
      </c>
      <c r="Y17" s="414">
        <f>SUM(Y18:Y62)</f>
        <v>7056580.2984000007</v>
      </c>
      <c r="Z17" s="414">
        <f>SUM(Z18:Z62)</f>
        <v>84678963.580799952</v>
      </c>
    </row>
    <row r="18" spans="1:26" s="155" customFormat="1" ht="35.25" customHeight="1">
      <c r="A18" s="322">
        <v>1</v>
      </c>
      <c r="B18" s="331" t="s">
        <v>5</v>
      </c>
      <c r="C18" s="323" t="s">
        <v>499</v>
      </c>
      <c r="D18" s="332" t="s">
        <v>490</v>
      </c>
      <c r="E18" s="322">
        <v>1</v>
      </c>
      <c r="F18" s="319" t="s">
        <v>491</v>
      </c>
      <c r="G18" s="319">
        <v>28</v>
      </c>
      <c r="H18" s="333">
        <v>6.22</v>
      </c>
      <c r="I18" s="334">
        <v>17697</v>
      </c>
      <c r="J18" s="322">
        <v>2</v>
      </c>
      <c r="K18" s="335">
        <f>E18*H18*I18*J18</f>
        <v>220150.68</v>
      </c>
      <c r="L18" s="322"/>
      <c r="M18" s="335">
        <f>K18*25%</f>
        <v>55037.67</v>
      </c>
      <c r="N18" s="335">
        <f>(K18+M18)*10%</f>
        <v>27518.834999999999</v>
      </c>
      <c r="O18" s="322"/>
      <c r="P18" s="322"/>
      <c r="Q18" s="322"/>
      <c r="R18" s="322"/>
      <c r="S18" s="322"/>
      <c r="T18" s="322"/>
      <c r="U18" s="322"/>
      <c r="V18" s="322"/>
      <c r="W18" s="322"/>
      <c r="X18" s="335">
        <f>(K18+M18)*50%</f>
        <v>137594.17499999999</v>
      </c>
      <c r="Y18" s="335">
        <f t="shared" ref="Y18:Y59" si="1">SUM(K18:X18)</f>
        <v>440301.36</v>
      </c>
      <c r="Z18" s="335">
        <f>Y18*12</f>
        <v>5283616.32</v>
      </c>
    </row>
    <row r="19" spans="1:26" s="155" customFormat="1" ht="52.5" customHeight="1">
      <c r="A19" s="322">
        <v>2</v>
      </c>
      <c r="B19" s="331" t="s">
        <v>463</v>
      </c>
      <c r="C19" s="336" t="s">
        <v>578</v>
      </c>
      <c r="D19" s="332" t="s">
        <v>490</v>
      </c>
      <c r="E19" s="322">
        <v>1</v>
      </c>
      <c r="F19" s="319" t="s">
        <v>492</v>
      </c>
      <c r="G19" s="337">
        <v>15</v>
      </c>
      <c r="H19" s="337">
        <v>5.43</v>
      </c>
      <c r="I19" s="334">
        <v>17697</v>
      </c>
      <c r="J19" s="322">
        <v>2</v>
      </c>
      <c r="K19" s="335">
        <f t="shared" ref="K19:K24" si="2">E19*H19*I19*J19</f>
        <v>192189.41999999998</v>
      </c>
      <c r="L19" s="322"/>
      <c r="M19" s="335">
        <f t="shared" ref="M19:M36" si="3">K19*25%</f>
        <v>48047.354999999996</v>
      </c>
      <c r="N19" s="335">
        <f t="shared" ref="N19:N62" si="4">(K19+M19)*10%</f>
        <v>24023.677499999998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35">
        <f t="shared" si="1"/>
        <v>264260.45249999996</v>
      </c>
      <c r="Z19" s="335">
        <f t="shared" ref="Z19:Z62" si="5">Y19*12</f>
        <v>3171125.4299999997</v>
      </c>
    </row>
    <row r="20" spans="1:26" s="155" customFormat="1" ht="54" customHeight="1">
      <c r="A20" s="322">
        <v>3</v>
      </c>
      <c r="B20" s="331" t="s">
        <v>463</v>
      </c>
      <c r="C20" s="336" t="s">
        <v>501</v>
      </c>
      <c r="D20" s="332" t="s">
        <v>490</v>
      </c>
      <c r="E20" s="322">
        <v>1</v>
      </c>
      <c r="F20" s="319" t="s">
        <v>492</v>
      </c>
      <c r="G20" s="348">
        <v>9.5</v>
      </c>
      <c r="H20" s="337">
        <v>5.29</v>
      </c>
      <c r="I20" s="334">
        <v>17697</v>
      </c>
      <c r="J20" s="322">
        <v>2</v>
      </c>
      <c r="K20" s="335">
        <f t="shared" si="2"/>
        <v>187234.26</v>
      </c>
      <c r="L20" s="322"/>
      <c r="M20" s="335">
        <f t="shared" si="3"/>
        <v>46808.565000000002</v>
      </c>
      <c r="N20" s="335">
        <f t="shared" si="4"/>
        <v>23404.282500000001</v>
      </c>
      <c r="O20" s="322"/>
      <c r="P20" s="322"/>
      <c r="Q20" s="322"/>
      <c r="R20" s="322"/>
      <c r="S20" s="322"/>
      <c r="T20" s="322"/>
      <c r="U20" s="322"/>
      <c r="V20" s="322"/>
      <c r="W20" s="322"/>
      <c r="X20" s="335">
        <f>(K20+M20)*30%</f>
        <v>70212.847500000003</v>
      </c>
      <c r="Y20" s="335">
        <f t="shared" si="1"/>
        <v>327659.95500000002</v>
      </c>
      <c r="Z20" s="335">
        <f t="shared" si="5"/>
        <v>3931919.46</v>
      </c>
    </row>
    <row r="21" spans="1:26" s="155" customFormat="1" ht="69.75" customHeight="1">
      <c r="A21" s="322">
        <v>4</v>
      </c>
      <c r="B21" s="331" t="s">
        <v>464</v>
      </c>
      <c r="C21" s="336" t="s">
        <v>580</v>
      </c>
      <c r="D21" s="332" t="s">
        <v>490</v>
      </c>
      <c r="E21" s="322">
        <v>1</v>
      </c>
      <c r="F21" s="319" t="s">
        <v>492</v>
      </c>
      <c r="G21" s="337">
        <v>26</v>
      </c>
      <c r="H21" s="337">
        <v>5.91</v>
      </c>
      <c r="I21" s="334">
        <v>17697</v>
      </c>
      <c r="J21" s="322">
        <v>2</v>
      </c>
      <c r="K21" s="335">
        <f t="shared" si="2"/>
        <v>209178.54</v>
      </c>
      <c r="L21" s="322"/>
      <c r="M21" s="335">
        <f t="shared" si="3"/>
        <v>52294.635000000002</v>
      </c>
      <c r="N21" s="335">
        <f t="shared" si="4"/>
        <v>26147.317500000005</v>
      </c>
      <c r="O21" s="322"/>
      <c r="P21" s="322"/>
      <c r="Q21" s="322"/>
      <c r="R21" s="322"/>
      <c r="S21" s="322"/>
      <c r="T21" s="322"/>
      <c r="U21" s="322"/>
      <c r="V21" s="322"/>
      <c r="W21" s="322"/>
      <c r="X21" s="335">
        <f>(K21+M21)*30%</f>
        <v>78441.952499999999</v>
      </c>
      <c r="Y21" s="335">
        <f t="shared" si="1"/>
        <v>366062.44500000007</v>
      </c>
      <c r="Z21" s="335">
        <f t="shared" si="5"/>
        <v>4392749.3400000008</v>
      </c>
    </row>
    <row r="22" spans="1:26" s="155" customFormat="1" ht="69.75" customHeight="1">
      <c r="A22" s="322">
        <v>5</v>
      </c>
      <c r="B22" s="331" t="s">
        <v>464</v>
      </c>
      <c r="C22" s="323" t="s">
        <v>579</v>
      </c>
      <c r="D22" s="332" t="s">
        <v>490</v>
      </c>
      <c r="E22" s="322">
        <v>1</v>
      </c>
      <c r="F22" s="319" t="s">
        <v>492</v>
      </c>
      <c r="G22" s="319">
        <v>8.11</v>
      </c>
      <c r="H22" s="337">
        <v>5.15</v>
      </c>
      <c r="I22" s="334">
        <v>17697</v>
      </c>
      <c r="J22" s="322">
        <v>2</v>
      </c>
      <c r="K22" s="335">
        <f t="shared" si="2"/>
        <v>182279.1</v>
      </c>
      <c r="L22" s="322"/>
      <c r="M22" s="335">
        <f t="shared" si="3"/>
        <v>45569.775000000001</v>
      </c>
      <c r="N22" s="335">
        <f t="shared" si="4"/>
        <v>22784.887500000001</v>
      </c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35">
        <f t="shared" si="1"/>
        <v>250633.76250000001</v>
      </c>
      <c r="Z22" s="335">
        <f t="shared" si="5"/>
        <v>3007605.1500000004</v>
      </c>
    </row>
    <row r="23" spans="1:26" s="155" customFormat="1" ht="66.75" customHeight="1">
      <c r="A23" s="548">
        <v>6</v>
      </c>
      <c r="B23" s="331" t="s">
        <v>465</v>
      </c>
      <c r="C23" s="548" t="s">
        <v>584</v>
      </c>
      <c r="D23" s="548" t="s">
        <v>490</v>
      </c>
      <c r="E23" s="322">
        <v>1</v>
      </c>
      <c r="F23" s="319" t="s">
        <v>493</v>
      </c>
      <c r="G23" s="319">
        <v>17.11</v>
      </c>
      <c r="H23" s="333">
        <v>5.45</v>
      </c>
      <c r="I23" s="334">
        <v>17697</v>
      </c>
      <c r="J23" s="322">
        <v>1.45</v>
      </c>
      <c r="K23" s="335">
        <f t="shared" si="2"/>
        <v>139850.54250000001</v>
      </c>
      <c r="L23" s="322"/>
      <c r="M23" s="335"/>
      <c r="N23" s="335">
        <f t="shared" si="4"/>
        <v>13985.054250000001</v>
      </c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35">
        <f t="shared" si="1"/>
        <v>153835.59675000003</v>
      </c>
      <c r="Z23" s="335">
        <f t="shared" si="5"/>
        <v>1846027.1610000003</v>
      </c>
    </row>
    <row r="24" spans="1:26" s="155" customFormat="1" ht="27" customHeight="1">
      <c r="A24" s="549"/>
      <c r="B24" s="331" t="s">
        <v>597</v>
      </c>
      <c r="C24" s="549"/>
      <c r="D24" s="549"/>
      <c r="E24" s="322">
        <v>0.5</v>
      </c>
      <c r="F24" s="319">
        <v>3</v>
      </c>
      <c r="G24" s="319">
        <v>17.11</v>
      </c>
      <c r="H24" s="333">
        <v>2.84</v>
      </c>
      <c r="I24" s="334">
        <v>17697</v>
      </c>
      <c r="J24" s="322">
        <v>1.45</v>
      </c>
      <c r="K24" s="335">
        <f t="shared" si="2"/>
        <v>36438.122999999992</v>
      </c>
      <c r="L24" s="322"/>
      <c r="M24" s="335"/>
      <c r="N24" s="335">
        <f t="shared" si="4"/>
        <v>3643.8122999999996</v>
      </c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35">
        <f t="shared" si="1"/>
        <v>40081.93529999999</v>
      </c>
      <c r="Z24" s="335">
        <f t="shared" si="5"/>
        <v>480983.22359999991</v>
      </c>
    </row>
    <row r="25" spans="1:26" s="358" customFormat="1" ht="54.75" customHeight="1">
      <c r="A25" s="322">
        <v>7</v>
      </c>
      <c r="B25" s="323" t="s">
        <v>583</v>
      </c>
      <c r="C25" s="378" t="s">
        <v>628</v>
      </c>
      <c r="D25" s="332" t="s">
        <v>490</v>
      </c>
      <c r="E25" s="339">
        <v>1</v>
      </c>
      <c r="F25" s="322" t="s">
        <v>494</v>
      </c>
      <c r="G25" s="322">
        <v>13.11</v>
      </c>
      <c r="H25" s="340">
        <v>4.49</v>
      </c>
      <c r="I25" s="334">
        <v>17697</v>
      </c>
      <c r="J25" s="322">
        <v>2</v>
      </c>
      <c r="K25" s="335">
        <f t="shared" ref="K25:K27" si="6">E25*H25*I25*J25</f>
        <v>158919.06</v>
      </c>
      <c r="L25" s="322"/>
      <c r="M25" s="335">
        <f t="shared" si="3"/>
        <v>39729.764999999999</v>
      </c>
      <c r="N25" s="335">
        <f t="shared" si="4"/>
        <v>19864.882500000003</v>
      </c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35">
        <f t="shared" si="1"/>
        <v>218513.70750000002</v>
      </c>
      <c r="Z25" s="335">
        <f t="shared" si="5"/>
        <v>2622164.4900000002</v>
      </c>
    </row>
    <row r="26" spans="1:26" s="155" customFormat="1" ht="50.25" customHeight="1">
      <c r="A26" s="322">
        <v>8</v>
      </c>
      <c r="B26" s="323" t="s">
        <v>466</v>
      </c>
      <c r="C26" s="336" t="s">
        <v>585</v>
      </c>
      <c r="D26" s="332" t="s">
        <v>490</v>
      </c>
      <c r="E26" s="339">
        <v>1</v>
      </c>
      <c r="F26" s="322" t="s">
        <v>494</v>
      </c>
      <c r="G26" s="337">
        <v>13.11</v>
      </c>
      <c r="H26" s="337">
        <v>4.49</v>
      </c>
      <c r="I26" s="334">
        <v>17697</v>
      </c>
      <c r="J26" s="322">
        <v>2</v>
      </c>
      <c r="K26" s="335">
        <f t="shared" si="6"/>
        <v>158919.06</v>
      </c>
      <c r="L26" s="322"/>
      <c r="M26" s="335">
        <f t="shared" si="3"/>
        <v>39729.764999999999</v>
      </c>
      <c r="N26" s="335">
        <f t="shared" si="4"/>
        <v>19864.882500000003</v>
      </c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35">
        <f t="shared" si="1"/>
        <v>218513.70750000002</v>
      </c>
      <c r="Z26" s="335">
        <f t="shared" si="5"/>
        <v>2622164.4900000002</v>
      </c>
    </row>
    <row r="27" spans="1:26" s="358" customFormat="1" ht="47.25">
      <c r="A27" s="322">
        <v>9</v>
      </c>
      <c r="B27" s="323" t="s">
        <v>466</v>
      </c>
      <c r="C27" s="336" t="s">
        <v>627</v>
      </c>
      <c r="D27" s="332" t="s">
        <v>490</v>
      </c>
      <c r="E27" s="339">
        <v>1</v>
      </c>
      <c r="F27" s="322" t="s">
        <v>494</v>
      </c>
      <c r="G27" s="346">
        <v>11.11</v>
      </c>
      <c r="H27" s="337">
        <v>4.38</v>
      </c>
      <c r="I27" s="334">
        <v>17697</v>
      </c>
      <c r="J27" s="322">
        <v>2</v>
      </c>
      <c r="K27" s="335">
        <f t="shared" si="6"/>
        <v>155025.72</v>
      </c>
      <c r="L27" s="322"/>
      <c r="M27" s="335">
        <f t="shared" si="3"/>
        <v>38756.43</v>
      </c>
      <c r="N27" s="335">
        <f t="shared" si="4"/>
        <v>19378.215</v>
      </c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35">
        <f t="shared" si="1"/>
        <v>213160.36499999999</v>
      </c>
      <c r="Z27" s="335">
        <f t="shared" si="5"/>
        <v>2557924.38</v>
      </c>
    </row>
    <row r="28" spans="1:26" s="155" customFormat="1" ht="52.5" customHeight="1">
      <c r="A28" s="322">
        <v>10</v>
      </c>
      <c r="B28" s="325" t="s">
        <v>587</v>
      </c>
      <c r="C28" s="336" t="s">
        <v>567</v>
      </c>
      <c r="D28" s="332" t="s">
        <v>490</v>
      </c>
      <c r="E28" s="339">
        <v>1</v>
      </c>
      <c r="F28" s="322" t="s">
        <v>13</v>
      </c>
      <c r="G28" s="349">
        <v>5.2</v>
      </c>
      <c r="H28" s="322">
        <v>3.78</v>
      </c>
      <c r="I28" s="334">
        <v>17697</v>
      </c>
      <c r="J28" s="322">
        <v>2</v>
      </c>
      <c r="K28" s="335">
        <f t="shared" ref="K28:K43" si="7">E28*H28*I28*J28</f>
        <v>133789.32</v>
      </c>
      <c r="L28" s="322"/>
      <c r="M28" s="335">
        <f t="shared" si="3"/>
        <v>33447.33</v>
      </c>
      <c r="N28" s="335">
        <f t="shared" si="4"/>
        <v>16723.665000000005</v>
      </c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35">
        <f t="shared" si="1"/>
        <v>183960.31500000003</v>
      </c>
      <c r="Z28" s="335">
        <f t="shared" si="5"/>
        <v>2207523.7800000003</v>
      </c>
    </row>
    <row r="29" spans="1:26" s="155" customFormat="1" ht="52.5" customHeight="1">
      <c r="A29" s="322">
        <v>11</v>
      </c>
      <c r="B29" s="325" t="s">
        <v>199</v>
      </c>
      <c r="C29" s="336" t="s">
        <v>582</v>
      </c>
      <c r="D29" s="332" t="s">
        <v>490</v>
      </c>
      <c r="E29" s="338">
        <v>1</v>
      </c>
      <c r="F29" s="324" t="s">
        <v>649</v>
      </c>
      <c r="G29" s="340">
        <v>15.1</v>
      </c>
      <c r="H29" s="324">
        <v>4.28</v>
      </c>
      <c r="I29" s="334">
        <v>17697</v>
      </c>
      <c r="J29" s="322">
        <v>2</v>
      </c>
      <c r="K29" s="335">
        <f t="shared" si="7"/>
        <v>151486.32</v>
      </c>
      <c r="L29" s="322"/>
      <c r="M29" s="335">
        <f t="shared" si="3"/>
        <v>37871.58</v>
      </c>
      <c r="N29" s="335">
        <f t="shared" si="4"/>
        <v>18935.790000000005</v>
      </c>
      <c r="O29" s="322"/>
      <c r="P29" s="322"/>
      <c r="Q29" s="322"/>
      <c r="R29" s="322"/>
      <c r="S29" s="322"/>
      <c r="T29" s="322">
        <v>56807</v>
      </c>
      <c r="U29" s="322"/>
      <c r="V29" s="322"/>
      <c r="W29" s="322"/>
      <c r="X29" s="322"/>
      <c r="Y29" s="335">
        <f t="shared" si="1"/>
        <v>265100.69000000006</v>
      </c>
      <c r="Z29" s="335">
        <f t="shared" si="5"/>
        <v>3181208.2800000007</v>
      </c>
    </row>
    <row r="30" spans="1:26" s="155" customFormat="1" ht="52.5" customHeight="1">
      <c r="A30" s="322">
        <v>12</v>
      </c>
      <c r="B30" s="331" t="s">
        <v>498</v>
      </c>
      <c r="C30" s="325" t="s">
        <v>506</v>
      </c>
      <c r="D30" s="332" t="s">
        <v>490</v>
      </c>
      <c r="E30" s="338">
        <v>1</v>
      </c>
      <c r="F30" s="337" t="s">
        <v>13</v>
      </c>
      <c r="G30" s="346">
        <v>5.0999999999999996</v>
      </c>
      <c r="H30" s="324">
        <v>3.78</v>
      </c>
      <c r="I30" s="334">
        <v>17697</v>
      </c>
      <c r="J30" s="322">
        <v>2</v>
      </c>
      <c r="K30" s="335">
        <f t="shared" si="7"/>
        <v>133789.32</v>
      </c>
      <c r="L30" s="322"/>
      <c r="M30" s="335">
        <f t="shared" si="3"/>
        <v>33447.33</v>
      </c>
      <c r="N30" s="335">
        <f t="shared" si="4"/>
        <v>16723.665000000005</v>
      </c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35">
        <f t="shared" si="1"/>
        <v>183960.31500000003</v>
      </c>
      <c r="Z30" s="335">
        <f t="shared" si="5"/>
        <v>2207523.7800000003</v>
      </c>
    </row>
    <row r="31" spans="1:26" s="155" customFormat="1" ht="47.25">
      <c r="A31" s="322">
        <v>13</v>
      </c>
      <c r="B31" s="323" t="s">
        <v>616</v>
      </c>
      <c r="C31" s="336" t="s">
        <v>507</v>
      </c>
      <c r="D31" s="332" t="s">
        <v>490</v>
      </c>
      <c r="E31" s="338">
        <v>1</v>
      </c>
      <c r="F31" s="322" t="s">
        <v>13</v>
      </c>
      <c r="G31" s="322">
        <v>4.1100000000000003</v>
      </c>
      <c r="H31" s="340">
        <v>3.71</v>
      </c>
      <c r="I31" s="334">
        <v>17697</v>
      </c>
      <c r="J31" s="322">
        <v>2</v>
      </c>
      <c r="K31" s="335">
        <f t="shared" si="7"/>
        <v>131311.74</v>
      </c>
      <c r="L31" s="322"/>
      <c r="M31" s="335">
        <f t="shared" si="3"/>
        <v>32827.934999999998</v>
      </c>
      <c r="N31" s="335">
        <f t="shared" si="4"/>
        <v>16413.967499999999</v>
      </c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35">
        <f t="shared" si="1"/>
        <v>180553.64249999999</v>
      </c>
      <c r="Z31" s="335">
        <f t="shared" si="5"/>
        <v>2166643.71</v>
      </c>
    </row>
    <row r="32" spans="1:26" s="155" customFormat="1" ht="41.25" customHeight="1">
      <c r="A32" s="322">
        <v>14</v>
      </c>
      <c r="B32" s="325" t="s">
        <v>586</v>
      </c>
      <c r="C32" s="336" t="s">
        <v>624</v>
      </c>
      <c r="D32" s="332" t="s">
        <v>490</v>
      </c>
      <c r="E32" s="339">
        <v>1</v>
      </c>
      <c r="F32" s="324" t="s">
        <v>13</v>
      </c>
      <c r="G32" s="322" t="s">
        <v>625</v>
      </c>
      <c r="H32" s="324">
        <v>3.52</v>
      </c>
      <c r="I32" s="334">
        <v>17697</v>
      </c>
      <c r="J32" s="322">
        <v>2</v>
      </c>
      <c r="K32" s="335">
        <f>E32*H32*I32*J32</f>
        <v>124586.88</v>
      </c>
      <c r="L32" s="322"/>
      <c r="M32" s="335">
        <f>K32*25%</f>
        <v>31146.720000000001</v>
      </c>
      <c r="N32" s="335">
        <f>(K32+M32)*10%</f>
        <v>15573.36</v>
      </c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35">
        <f t="shared" si="1"/>
        <v>171306.96000000002</v>
      </c>
      <c r="Z32" s="335">
        <f>Y32*12</f>
        <v>2055683.5200000003</v>
      </c>
    </row>
    <row r="33" spans="1:30" s="155" customFormat="1" ht="54.75" customHeight="1">
      <c r="A33" s="322">
        <v>15</v>
      </c>
      <c r="B33" s="371" t="s">
        <v>613</v>
      </c>
      <c r="C33" s="323" t="s">
        <v>631</v>
      </c>
      <c r="D33" s="372" t="s">
        <v>490</v>
      </c>
      <c r="E33" s="332">
        <v>1</v>
      </c>
      <c r="F33" s="322" t="s">
        <v>494</v>
      </c>
      <c r="G33" s="372">
        <v>0.7</v>
      </c>
      <c r="H33" s="372">
        <v>4.0999999999999996</v>
      </c>
      <c r="I33" s="373">
        <v>17697</v>
      </c>
      <c r="J33" s="322">
        <v>2</v>
      </c>
      <c r="K33" s="374">
        <f>E33*H33*I33*J33</f>
        <v>145115.4</v>
      </c>
      <c r="L33" s="332"/>
      <c r="M33" s="335">
        <f>K33*25%</f>
        <v>36278.85</v>
      </c>
      <c r="N33" s="335">
        <f>(K33+M33)*10%</f>
        <v>18139.424999999999</v>
      </c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35">
        <f t="shared" si="1"/>
        <v>199533.67499999999</v>
      </c>
      <c r="Z33" s="335">
        <f>Y33*12</f>
        <v>2394404.0999999996</v>
      </c>
    </row>
    <row r="34" spans="1:30" s="155" customFormat="1" ht="51.75" customHeight="1">
      <c r="A34" s="322">
        <v>16</v>
      </c>
      <c r="B34" s="325" t="s">
        <v>467</v>
      </c>
      <c r="C34" s="379" t="s">
        <v>521</v>
      </c>
      <c r="D34" s="332" t="s">
        <v>490</v>
      </c>
      <c r="E34" s="339">
        <v>1</v>
      </c>
      <c r="F34" s="483" t="s">
        <v>588</v>
      </c>
      <c r="G34" s="337">
        <v>14</v>
      </c>
      <c r="H34" s="483">
        <v>4.3</v>
      </c>
      <c r="I34" s="334">
        <v>17697</v>
      </c>
      <c r="J34" s="322">
        <v>2.6</v>
      </c>
      <c r="K34" s="335">
        <f t="shared" si="7"/>
        <v>197852.46</v>
      </c>
      <c r="L34" s="322"/>
      <c r="M34" s="335">
        <f t="shared" si="3"/>
        <v>49463.114999999998</v>
      </c>
      <c r="N34" s="335">
        <f t="shared" si="4"/>
        <v>24731.557499999999</v>
      </c>
      <c r="O34" s="322"/>
      <c r="P34" s="322"/>
      <c r="Q34" s="322"/>
      <c r="R34" s="322"/>
      <c r="S34" s="322"/>
      <c r="T34" s="322"/>
      <c r="U34" s="335">
        <f>(K34+M34)*35%</f>
        <v>86560.451249999984</v>
      </c>
      <c r="V34" s="322"/>
      <c r="W34" s="322"/>
      <c r="X34" s="322"/>
      <c r="Y34" s="335">
        <f t="shared" si="1"/>
        <v>358607.58374999999</v>
      </c>
      <c r="Z34" s="335">
        <f t="shared" si="5"/>
        <v>4303291.0049999999</v>
      </c>
    </row>
    <row r="35" spans="1:30" s="155" customFormat="1" ht="47.25">
      <c r="A35" s="322">
        <v>17</v>
      </c>
      <c r="B35" s="325" t="s">
        <v>467</v>
      </c>
      <c r="C35" s="379" t="s">
        <v>534</v>
      </c>
      <c r="D35" s="332" t="s">
        <v>490</v>
      </c>
      <c r="E35" s="338">
        <v>1</v>
      </c>
      <c r="F35" s="483" t="s">
        <v>648</v>
      </c>
      <c r="G35" s="337">
        <v>22.11</v>
      </c>
      <c r="H35" s="483">
        <v>4.6900000000000004</v>
      </c>
      <c r="I35" s="334">
        <v>17697</v>
      </c>
      <c r="J35" s="322">
        <v>2.6</v>
      </c>
      <c r="K35" s="335">
        <f t="shared" si="7"/>
        <v>215797.21800000002</v>
      </c>
      <c r="L35" s="322"/>
      <c r="M35" s="335">
        <f t="shared" si="3"/>
        <v>53949.304500000006</v>
      </c>
      <c r="N35" s="335">
        <f t="shared" si="4"/>
        <v>26974.652250000003</v>
      </c>
      <c r="O35" s="322"/>
      <c r="P35" s="322"/>
      <c r="Q35" s="322"/>
      <c r="R35" s="322"/>
      <c r="S35" s="322"/>
      <c r="T35" s="322"/>
      <c r="U35" s="335"/>
      <c r="V35" s="335">
        <f>(K35+M35)*40%</f>
        <v>107898.60900000001</v>
      </c>
      <c r="W35" s="322"/>
      <c r="X35" s="322"/>
      <c r="Y35" s="335">
        <f t="shared" si="1"/>
        <v>404619.78375</v>
      </c>
      <c r="Z35" s="335">
        <f t="shared" si="5"/>
        <v>4855437.4050000003</v>
      </c>
    </row>
    <row r="36" spans="1:30" s="155" customFormat="1" ht="42.75" customHeight="1">
      <c r="A36" s="322">
        <v>18</v>
      </c>
      <c r="B36" s="336" t="s">
        <v>218</v>
      </c>
      <c r="C36" s="323" t="s">
        <v>590</v>
      </c>
      <c r="D36" s="332" t="s">
        <v>490</v>
      </c>
      <c r="E36" s="322">
        <v>1</v>
      </c>
      <c r="F36" s="322" t="s">
        <v>12</v>
      </c>
      <c r="G36" s="322">
        <v>16</v>
      </c>
      <c r="H36" s="322">
        <v>5.09</v>
      </c>
      <c r="I36" s="334">
        <v>17697</v>
      </c>
      <c r="J36" s="322">
        <v>1.45</v>
      </c>
      <c r="K36" s="335">
        <f t="shared" si="7"/>
        <v>130612.70849999999</v>
      </c>
      <c r="L36" s="322"/>
      <c r="M36" s="335">
        <f t="shared" si="3"/>
        <v>32653.177124999998</v>
      </c>
      <c r="N36" s="335">
        <f t="shared" si="4"/>
        <v>16326.588562500001</v>
      </c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35">
        <f t="shared" si="1"/>
        <v>179592.47418749999</v>
      </c>
      <c r="Z36" s="335">
        <f t="shared" si="5"/>
        <v>2155109.69025</v>
      </c>
    </row>
    <row r="37" spans="1:30" s="155" customFormat="1" ht="47.25">
      <c r="A37" s="322">
        <v>19</v>
      </c>
      <c r="B37" s="336" t="s">
        <v>209</v>
      </c>
      <c r="C37" s="336" t="s">
        <v>591</v>
      </c>
      <c r="D37" s="332" t="s">
        <v>490</v>
      </c>
      <c r="E37" s="338">
        <v>1</v>
      </c>
      <c r="F37" s="337" t="s">
        <v>13</v>
      </c>
      <c r="G37" s="337">
        <v>16.600000000000001</v>
      </c>
      <c r="H37" s="337">
        <v>4.0599999999999996</v>
      </c>
      <c r="I37" s="334">
        <v>17697</v>
      </c>
      <c r="J37" s="322">
        <v>1.45</v>
      </c>
      <c r="K37" s="335">
        <f t="shared" si="7"/>
        <v>104182.23899999999</v>
      </c>
      <c r="L37" s="322"/>
      <c r="M37" s="335"/>
      <c r="N37" s="335">
        <f t="shared" si="4"/>
        <v>10418.223899999999</v>
      </c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35">
        <f t="shared" si="1"/>
        <v>114600.46289999998</v>
      </c>
      <c r="Z37" s="335">
        <f t="shared" si="5"/>
        <v>1375205.5547999998</v>
      </c>
    </row>
    <row r="38" spans="1:30" s="155" customFormat="1" ht="49.5" customHeight="1">
      <c r="A38" s="322">
        <v>20</v>
      </c>
      <c r="B38" s="336" t="s">
        <v>209</v>
      </c>
      <c r="C38" s="323" t="s">
        <v>647</v>
      </c>
      <c r="D38" s="332" t="s">
        <v>589</v>
      </c>
      <c r="E38" s="322">
        <v>1</v>
      </c>
      <c r="F38" s="337" t="s">
        <v>650</v>
      </c>
      <c r="G38" s="322">
        <v>1.8</v>
      </c>
      <c r="H38" s="341">
        <v>3.36</v>
      </c>
      <c r="I38" s="334">
        <v>17697</v>
      </c>
      <c r="J38" s="322">
        <v>1.45</v>
      </c>
      <c r="K38" s="335">
        <f t="shared" si="7"/>
        <v>86219.784</v>
      </c>
      <c r="L38" s="322"/>
      <c r="M38" s="335"/>
      <c r="N38" s="335">
        <f t="shared" si="4"/>
        <v>8621.9784</v>
      </c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35">
        <f t="shared" si="1"/>
        <v>94841.762400000007</v>
      </c>
      <c r="Z38" s="335">
        <f t="shared" si="5"/>
        <v>1138101.1488000001</v>
      </c>
    </row>
    <row r="39" spans="1:30" s="155" customFormat="1" ht="36.75" customHeight="1">
      <c r="A39" s="322"/>
      <c r="B39" s="336" t="s">
        <v>194</v>
      </c>
      <c r="C39" s="323" t="s">
        <v>644</v>
      </c>
      <c r="D39" s="332" t="s">
        <v>589</v>
      </c>
      <c r="E39" s="322">
        <v>1</v>
      </c>
      <c r="F39" s="322" t="s">
        <v>322</v>
      </c>
      <c r="G39" s="340">
        <v>0.1</v>
      </c>
      <c r="H39" s="341">
        <v>3.31</v>
      </c>
      <c r="I39" s="334">
        <v>17697</v>
      </c>
      <c r="J39" s="322">
        <v>1.45</v>
      </c>
      <c r="K39" s="335">
        <f t="shared" si="7"/>
        <v>84936.751499999998</v>
      </c>
      <c r="L39" s="322"/>
      <c r="M39" s="335"/>
      <c r="N39" s="335">
        <f t="shared" si="4"/>
        <v>8493.6751500000009</v>
      </c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35">
        <f t="shared" si="1"/>
        <v>93430.426649999994</v>
      </c>
      <c r="Z39" s="335">
        <f t="shared" si="5"/>
        <v>1121165.1198</v>
      </c>
    </row>
    <row r="40" spans="1:30" s="155" customFormat="1" ht="47.25">
      <c r="A40" s="322">
        <v>21</v>
      </c>
      <c r="B40" s="323" t="s">
        <v>592</v>
      </c>
      <c r="C40" s="323" t="s">
        <v>594</v>
      </c>
      <c r="D40" s="332" t="s">
        <v>589</v>
      </c>
      <c r="E40" s="322">
        <v>1</v>
      </c>
      <c r="F40" s="322" t="s">
        <v>593</v>
      </c>
      <c r="G40" s="342">
        <v>14.9</v>
      </c>
      <c r="H40" s="324">
        <v>3.19</v>
      </c>
      <c r="I40" s="334">
        <v>17697</v>
      </c>
      <c r="J40" s="322">
        <v>1.45</v>
      </c>
      <c r="K40" s="335">
        <f t="shared" si="7"/>
        <v>81857.473499999993</v>
      </c>
      <c r="L40" s="322"/>
      <c r="M40" s="335"/>
      <c r="N40" s="335">
        <f t="shared" si="4"/>
        <v>8185.7473499999996</v>
      </c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35">
        <f t="shared" si="1"/>
        <v>90043.220849999998</v>
      </c>
      <c r="Z40" s="335">
        <f t="shared" si="5"/>
        <v>1080518.6502</v>
      </c>
      <c r="AD40" s="322"/>
    </row>
    <row r="41" spans="1:30" s="155" customFormat="1" ht="38.25" customHeight="1">
      <c r="A41" s="322">
        <v>22</v>
      </c>
      <c r="B41" s="343" t="s">
        <v>645</v>
      </c>
      <c r="C41" s="323" t="s">
        <v>595</v>
      </c>
      <c r="D41" s="332" t="s">
        <v>497</v>
      </c>
      <c r="E41" s="322">
        <v>1</v>
      </c>
      <c r="F41" s="322">
        <v>1</v>
      </c>
      <c r="G41" s="322">
        <v>26.15</v>
      </c>
      <c r="H41" s="322">
        <v>2.77</v>
      </c>
      <c r="I41" s="334">
        <v>17697</v>
      </c>
      <c r="J41" s="322">
        <v>1.45</v>
      </c>
      <c r="K41" s="335">
        <f t="shared" si="7"/>
        <v>71080.000499999995</v>
      </c>
      <c r="L41" s="322"/>
      <c r="M41" s="335"/>
      <c r="N41" s="335">
        <f t="shared" si="4"/>
        <v>7108.0000499999996</v>
      </c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35">
        <f t="shared" si="1"/>
        <v>78188.000549999997</v>
      </c>
      <c r="Z41" s="335">
        <f t="shared" si="5"/>
        <v>938256.00659999996</v>
      </c>
    </row>
    <row r="42" spans="1:30" s="155" customFormat="1" ht="34.5" customHeight="1">
      <c r="A42" s="322">
        <v>23</v>
      </c>
      <c r="B42" s="343" t="s">
        <v>646</v>
      </c>
      <c r="C42" s="325" t="s">
        <v>596</v>
      </c>
      <c r="D42" s="332" t="s">
        <v>497</v>
      </c>
      <c r="E42" s="337">
        <v>1.5</v>
      </c>
      <c r="F42" s="322">
        <v>3</v>
      </c>
      <c r="G42" s="322">
        <v>12.7</v>
      </c>
      <c r="H42" s="322">
        <v>2.84</v>
      </c>
      <c r="I42" s="334">
        <v>17697</v>
      </c>
      <c r="J42" s="322">
        <v>1.45</v>
      </c>
      <c r="K42" s="335">
        <f t="shared" si="7"/>
        <v>109314.36899999999</v>
      </c>
      <c r="L42" s="322"/>
      <c r="M42" s="335"/>
      <c r="N42" s="335">
        <f t="shared" si="4"/>
        <v>10931.436900000001</v>
      </c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35">
        <f t="shared" si="1"/>
        <v>120245.80589999999</v>
      </c>
      <c r="Z42" s="335">
        <f t="shared" si="5"/>
        <v>1442949.6708</v>
      </c>
    </row>
    <row r="43" spans="1:30" s="155" customFormat="1" ht="47.25">
      <c r="A43" s="322">
        <v>24</v>
      </c>
      <c r="B43" s="343" t="s">
        <v>468</v>
      </c>
      <c r="C43" s="344" t="s">
        <v>598</v>
      </c>
      <c r="D43" s="332" t="s">
        <v>497</v>
      </c>
      <c r="E43" s="337">
        <v>1</v>
      </c>
      <c r="F43" s="322">
        <v>1</v>
      </c>
      <c r="G43" s="322">
        <v>5</v>
      </c>
      <c r="H43" s="322">
        <v>2.77</v>
      </c>
      <c r="I43" s="334">
        <v>17697</v>
      </c>
      <c r="J43" s="322">
        <v>1.45</v>
      </c>
      <c r="K43" s="335">
        <f t="shared" si="7"/>
        <v>71080.000499999995</v>
      </c>
      <c r="L43" s="322"/>
      <c r="M43" s="335"/>
      <c r="N43" s="335">
        <f t="shared" si="4"/>
        <v>7108.0000499999996</v>
      </c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35">
        <f t="shared" si="1"/>
        <v>78188.000549999997</v>
      </c>
      <c r="Z43" s="335">
        <f t="shared" si="5"/>
        <v>938256.00659999996</v>
      </c>
    </row>
    <row r="44" spans="1:30" s="155" customFormat="1" ht="47.25">
      <c r="A44" s="322">
        <v>25</v>
      </c>
      <c r="B44" s="343" t="s">
        <v>468</v>
      </c>
      <c r="C44" s="325" t="s">
        <v>599</v>
      </c>
      <c r="D44" s="332" t="s">
        <v>497</v>
      </c>
      <c r="E44" s="337">
        <v>1</v>
      </c>
      <c r="F44" s="322">
        <v>1</v>
      </c>
      <c r="G44" s="322">
        <v>3.11</v>
      </c>
      <c r="H44" s="322">
        <v>2.77</v>
      </c>
      <c r="I44" s="334">
        <v>17697</v>
      </c>
      <c r="J44" s="322">
        <v>1.45</v>
      </c>
      <c r="K44" s="335">
        <f t="shared" ref="K44:K54" si="8">E44*H44*I44*J44</f>
        <v>71080.000499999995</v>
      </c>
      <c r="L44" s="322"/>
      <c r="M44" s="335"/>
      <c r="N44" s="335">
        <f t="shared" si="4"/>
        <v>7108.0000499999996</v>
      </c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35">
        <f t="shared" si="1"/>
        <v>78188.000549999997</v>
      </c>
      <c r="Z44" s="335">
        <f t="shared" si="5"/>
        <v>938256.00659999996</v>
      </c>
    </row>
    <row r="45" spans="1:30" s="155" customFormat="1" ht="38.25" customHeight="1">
      <c r="A45" s="322">
        <v>26</v>
      </c>
      <c r="B45" s="343" t="s">
        <v>468</v>
      </c>
      <c r="C45" s="345" t="s">
        <v>600</v>
      </c>
      <c r="D45" s="332" t="s">
        <v>497</v>
      </c>
      <c r="E45" s="337">
        <v>1</v>
      </c>
      <c r="F45" s="322">
        <v>1</v>
      </c>
      <c r="G45" s="322">
        <v>6.4</v>
      </c>
      <c r="H45" s="322">
        <v>2.77</v>
      </c>
      <c r="I45" s="334">
        <v>17697</v>
      </c>
      <c r="J45" s="322">
        <v>1.45</v>
      </c>
      <c r="K45" s="335">
        <f t="shared" si="8"/>
        <v>71080.000499999995</v>
      </c>
      <c r="L45" s="322"/>
      <c r="M45" s="335"/>
      <c r="N45" s="335">
        <f t="shared" si="4"/>
        <v>7108.0000499999996</v>
      </c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35">
        <f t="shared" si="1"/>
        <v>78188.000549999997</v>
      </c>
      <c r="Z45" s="335">
        <f t="shared" si="5"/>
        <v>938256.00659999996</v>
      </c>
    </row>
    <row r="46" spans="1:30" s="155" customFormat="1" ht="47.25">
      <c r="A46" s="322">
        <v>27</v>
      </c>
      <c r="B46" s="343" t="s">
        <v>468</v>
      </c>
      <c r="C46" s="325" t="s">
        <v>601</v>
      </c>
      <c r="D46" s="332" t="s">
        <v>497</v>
      </c>
      <c r="E46" s="337">
        <v>1</v>
      </c>
      <c r="F46" s="322">
        <v>1</v>
      </c>
      <c r="G46" s="322">
        <v>3.11</v>
      </c>
      <c r="H46" s="322">
        <v>2.77</v>
      </c>
      <c r="I46" s="334">
        <v>17697</v>
      </c>
      <c r="J46" s="322">
        <v>1.45</v>
      </c>
      <c r="K46" s="335">
        <f t="shared" si="8"/>
        <v>71080.000499999995</v>
      </c>
      <c r="L46" s="322"/>
      <c r="M46" s="335"/>
      <c r="N46" s="335">
        <f t="shared" si="4"/>
        <v>7108.0000499999996</v>
      </c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35">
        <f t="shared" si="1"/>
        <v>78188.000549999997</v>
      </c>
      <c r="Z46" s="335">
        <f t="shared" si="5"/>
        <v>938256.00659999996</v>
      </c>
    </row>
    <row r="47" spans="1:30" s="155" customFormat="1" ht="47.25">
      <c r="A47" s="322">
        <v>28</v>
      </c>
      <c r="B47" s="343" t="s">
        <v>468</v>
      </c>
      <c r="C47" s="325" t="s">
        <v>602</v>
      </c>
      <c r="D47" s="332" t="s">
        <v>497</v>
      </c>
      <c r="E47" s="337">
        <v>1</v>
      </c>
      <c r="F47" s="322">
        <v>1</v>
      </c>
      <c r="G47" s="322">
        <v>4</v>
      </c>
      <c r="H47" s="322">
        <v>2.77</v>
      </c>
      <c r="I47" s="334">
        <v>17697</v>
      </c>
      <c r="J47" s="322">
        <v>1.45</v>
      </c>
      <c r="K47" s="335">
        <f t="shared" si="8"/>
        <v>71080.000499999995</v>
      </c>
      <c r="L47" s="322"/>
      <c r="M47" s="335"/>
      <c r="N47" s="335">
        <f t="shared" si="4"/>
        <v>7108.0000499999996</v>
      </c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35">
        <f t="shared" si="1"/>
        <v>78188.000549999997</v>
      </c>
      <c r="Z47" s="335">
        <f t="shared" si="5"/>
        <v>938256.00659999996</v>
      </c>
    </row>
    <row r="48" spans="1:30" s="155" customFormat="1" ht="47.25">
      <c r="A48" s="322">
        <v>29</v>
      </c>
      <c r="B48" s="343" t="s">
        <v>468</v>
      </c>
      <c r="C48" s="325" t="s">
        <v>603</v>
      </c>
      <c r="D48" s="332" t="s">
        <v>497</v>
      </c>
      <c r="E48" s="337">
        <v>1</v>
      </c>
      <c r="F48" s="322">
        <v>1</v>
      </c>
      <c r="G48" s="322">
        <v>3.11</v>
      </c>
      <c r="H48" s="322">
        <v>2.77</v>
      </c>
      <c r="I48" s="334">
        <v>17697</v>
      </c>
      <c r="J48" s="322">
        <v>1.45</v>
      </c>
      <c r="K48" s="335">
        <f t="shared" si="8"/>
        <v>71080.000499999995</v>
      </c>
      <c r="L48" s="322"/>
      <c r="M48" s="335"/>
      <c r="N48" s="335">
        <f t="shared" si="4"/>
        <v>7108.0000499999996</v>
      </c>
      <c r="O48" s="322"/>
      <c r="P48" s="322">
        <v>5309</v>
      </c>
      <c r="Q48" s="322"/>
      <c r="R48" s="322"/>
      <c r="S48" s="322"/>
      <c r="T48" s="322"/>
      <c r="U48" s="322"/>
      <c r="V48" s="322"/>
      <c r="W48" s="322"/>
      <c r="X48" s="322"/>
      <c r="Y48" s="335">
        <f t="shared" si="1"/>
        <v>83497.000549999997</v>
      </c>
      <c r="Z48" s="335">
        <f t="shared" si="5"/>
        <v>1001964.0066</v>
      </c>
    </row>
    <row r="49" spans="1:26" s="155" customFormat="1" ht="31.5">
      <c r="A49" s="322">
        <v>30</v>
      </c>
      <c r="B49" s="343" t="s">
        <v>468</v>
      </c>
      <c r="C49" s="325" t="s">
        <v>604</v>
      </c>
      <c r="D49" s="332" t="s">
        <v>497</v>
      </c>
      <c r="E49" s="337">
        <v>1</v>
      </c>
      <c r="F49" s="322">
        <v>1</v>
      </c>
      <c r="G49" s="322">
        <v>3.11</v>
      </c>
      <c r="H49" s="322">
        <v>2.77</v>
      </c>
      <c r="I49" s="334">
        <v>17697</v>
      </c>
      <c r="J49" s="322">
        <v>1.45</v>
      </c>
      <c r="K49" s="335">
        <f t="shared" si="8"/>
        <v>71080.000499999995</v>
      </c>
      <c r="L49" s="322"/>
      <c r="M49" s="335"/>
      <c r="N49" s="335">
        <f t="shared" si="4"/>
        <v>7108.0000499999996</v>
      </c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35">
        <f t="shared" si="1"/>
        <v>78188.000549999997</v>
      </c>
      <c r="Z49" s="335">
        <f t="shared" si="5"/>
        <v>938256.00659999996</v>
      </c>
    </row>
    <row r="50" spans="1:26" s="155" customFormat="1" ht="35.25" customHeight="1">
      <c r="A50" s="322">
        <v>31</v>
      </c>
      <c r="B50" s="343" t="s">
        <v>468</v>
      </c>
      <c r="C50" s="323" t="s">
        <v>605</v>
      </c>
      <c r="D50" s="332" t="s">
        <v>497</v>
      </c>
      <c r="E50" s="337">
        <v>1</v>
      </c>
      <c r="F50" s="322">
        <v>1</v>
      </c>
      <c r="G50" s="322">
        <v>14.9</v>
      </c>
      <c r="H50" s="322">
        <v>2.77</v>
      </c>
      <c r="I50" s="334">
        <v>17697</v>
      </c>
      <c r="J50" s="322">
        <v>1.45</v>
      </c>
      <c r="K50" s="335">
        <f t="shared" si="8"/>
        <v>71080.000499999995</v>
      </c>
      <c r="L50" s="322"/>
      <c r="M50" s="335"/>
      <c r="N50" s="335">
        <f t="shared" si="4"/>
        <v>7108.0000499999996</v>
      </c>
      <c r="O50" s="322"/>
      <c r="P50" s="322">
        <v>5309</v>
      </c>
      <c r="Q50" s="322"/>
      <c r="R50" s="322"/>
      <c r="S50" s="322"/>
      <c r="T50" s="322"/>
      <c r="U50" s="322"/>
      <c r="V50" s="322"/>
      <c r="W50" s="322"/>
      <c r="X50" s="322"/>
      <c r="Y50" s="335">
        <f t="shared" si="1"/>
        <v>83497.000549999997</v>
      </c>
      <c r="Z50" s="335">
        <f t="shared" si="5"/>
        <v>1001964.0066</v>
      </c>
    </row>
    <row r="51" spans="1:26" s="155" customFormat="1" ht="52.5" customHeight="1">
      <c r="A51" s="322">
        <v>32</v>
      </c>
      <c r="B51" s="343" t="s">
        <v>468</v>
      </c>
      <c r="C51" s="325" t="s">
        <v>606</v>
      </c>
      <c r="D51" s="332" t="s">
        <v>497</v>
      </c>
      <c r="E51" s="337">
        <v>1</v>
      </c>
      <c r="F51" s="322">
        <v>1</v>
      </c>
      <c r="G51" s="322">
        <v>8.8000000000000007</v>
      </c>
      <c r="H51" s="322">
        <v>2.77</v>
      </c>
      <c r="I51" s="334">
        <v>17697</v>
      </c>
      <c r="J51" s="322">
        <v>1.45</v>
      </c>
      <c r="K51" s="335">
        <f t="shared" si="8"/>
        <v>71080.000499999995</v>
      </c>
      <c r="L51" s="322"/>
      <c r="M51" s="335"/>
      <c r="N51" s="335">
        <f t="shared" si="4"/>
        <v>7108.0000499999996</v>
      </c>
      <c r="O51" s="322"/>
      <c r="P51" s="322">
        <v>5309</v>
      </c>
      <c r="Q51" s="322"/>
      <c r="R51" s="322"/>
      <c r="S51" s="322"/>
      <c r="T51" s="322"/>
      <c r="U51" s="322"/>
      <c r="V51" s="322"/>
      <c r="W51" s="322"/>
      <c r="X51" s="322"/>
      <c r="Y51" s="335">
        <f t="shared" si="1"/>
        <v>83497.000549999997</v>
      </c>
      <c r="Z51" s="335">
        <f t="shared" si="5"/>
        <v>1001964.0066</v>
      </c>
    </row>
    <row r="52" spans="1:26" s="155" customFormat="1" ht="31.5">
      <c r="A52" s="322">
        <v>33</v>
      </c>
      <c r="B52" s="343" t="s">
        <v>468</v>
      </c>
      <c r="C52" s="345" t="s">
        <v>607</v>
      </c>
      <c r="D52" s="332" t="s">
        <v>497</v>
      </c>
      <c r="E52" s="337">
        <v>1</v>
      </c>
      <c r="F52" s="322">
        <v>1</v>
      </c>
      <c r="G52" s="322">
        <v>1.1100000000000001</v>
      </c>
      <c r="H52" s="322">
        <v>2.77</v>
      </c>
      <c r="I52" s="334">
        <v>17697</v>
      </c>
      <c r="J52" s="322">
        <v>1.45</v>
      </c>
      <c r="K52" s="335">
        <f t="shared" si="8"/>
        <v>71080.000499999995</v>
      </c>
      <c r="L52" s="322"/>
      <c r="M52" s="335"/>
      <c r="N52" s="335">
        <f t="shared" si="4"/>
        <v>7108.0000499999996</v>
      </c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35">
        <f t="shared" si="1"/>
        <v>78188.000549999997</v>
      </c>
      <c r="Z52" s="335">
        <f t="shared" si="5"/>
        <v>938256.00659999996</v>
      </c>
    </row>
    <row r="53" spans="1:26" s="155" customFormat="1" ht="31.5">
      <c r="A53" s="322">
        <v>34</v>
      </c>
      <c r="B53" s="343" t="s">
        <v>468</v>
      </c>
      <c r="C53" s="325" t="s">
        <v>608</v>
      </c>
      <c r="D53" s="332" t="s">
        <v>497</v>
      </c>
      <c r="E53" s="337">
        <v>1</v>
      </c>
      <c r="F53" s="322">
        <v>1</v>
      </c>
      <c r="G53" s="322">
        <v>6.7</v>
      </c>
      <c r="H53" s="322">
        <v>2.77</v>
      </c>
      <c r="I53" s="334">
        <v>17697</v>
      </c>
      <c r="J53" s="322">
        <v>1.45</v>
      </c>
      <c r="K53" s="335">
        <f t="shared" si="8"/>
        <v>71080.000499999995</v>
      </c>
      <c r="L53" s="322"/>
      <c r="M53" s="335"/>
      <c r="N53" s="335">
        <f t="shared" si="4"/>
        <v>7108.0000499999996</v>
      </c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35">
        <f t="shared" si="1"/>
        <v>78188.000549999997</v>
      </c>
      <c r="Z53" s="335">
        <f t="shared" si="5"/>
        <v>938256.00659999996</v>
      </c>
    </row>
    <row r="54" spans="1:26" s="155" customFormat="1" ht="33.75" customHeight="1">
      <c r="A54" s="322">
        <v>35</v>
      </c>
      <c r="B54" s="343" t="s">
        <v>468</v>
      </c>
      <c r="C54" s="323" t="s">
        <v>609</v>
      </c>
      <c r="D54" s="332" t="s">
        <v>497</v>
      </c>
      <c r="E54" s="337">
        <v>1</v>
      </c>
      <c r="F54" s="322">
        <v>1</v>
      </c>
      <c r="G54" s="322">
        <v>1.5</v>
      </c>
      <c r="H54" s="322">
        <v>2.77</v>
      </c>
      <c r="I54" s="334">
        <v>17697</v>
      </c>
      <c r="J54" s="322">
        <v>1.45</v>
      </c>
      <c r="K54" s="335">
        <f t="shared" si="8"/>
        <v>71080.000499999995</v>
      </c>
      <c r="L54" s="322"/>
      <c r="M54" s="335"/>
      <c r="N54" s="335">
        <f t="shared" si="4"/>
        <v>7108.0000499999996</v>
      </c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35">
        <f t="shared" si="1"/>
        <v>78188.000549999997</v>
      </c>
      <c r="Z54" s="335">
        <f t="shared" si="5"/>
        <v>938256.00659999996</v>
      </c>
    </row>
    <row r="55" spans="1:26" s="155" customFormat="1" ht="34.5" customHeight="1">
      <c r="A55" s="322">
        <v>36</v>
      </c>
      <c r="B55" s="323" t="s">
        <v>301</v>
      </c>
      <c r="C55" s="325" t="s">
        <v>610</v>
      </c>
      <c r="D55" s="332" t="s">
        <v>497</v>
      </c>
      <c r="E55" s="337">
        <v>1</v>
      </c>
      <c r="F55" s="322">
        <v>1</v>
      </c>
      <c r="G55" s="322">
        <v>6.9</v>
      </c>
      <c r="H55" s="322">
        <v>2.77</v>
      </c>
      <c r="I55" s="334">
        <v>17697</v>
      </c>
      <c r="J55" s="322">
        <v>1.45</v>
      </c>
      <c r="K55" s="335">
        <f t="shared" ref="K55:K58" si="9">E55*H55*I55*J55</f>
        <v>71080.000499999995</v>
      </c>
      <c r="L55" s="322"/>
      <c r="M55" s="335"/>
      <c r="N55" s="335">
        <f t="shared" si="4"/>
        <v>7108.0000499999996</v>
      </c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35">
        <f t="shared" si="1"/>
        <v>78188.000549999997</v>
      </c>
      <c r="Z55" s="335">
        <f t="shared" si="5"/>
        <v>938256.00659999996</v>
      </c>
    </row>
    <row r="56" spans="1:26" s="155" customFormat="1" ht="47.25">
      <c r="A56" s="322">
        <v>37</v>
      </c>
      <c r="B56" s="325" t="s">
        <v>496</v>
      </c>
      <c r="C56" s="325" t="s">
        <v>611</v>
      </c>
      <c r="D56" s="332" t="s">
        <v>497</v>
      </c>
      <c r="E56" s="322">
        <v>1</v>
      </c>
      <c r="F56" s="322">
        <v>1</v>
      </c>
      <c r="G56" s="322">
        <v>24.6</v>
      </c>
      <c r="H56" s="322">
        <v>2.77</v>
      </c>
      <c r="I56" s="334">
        <v>17697</v>
      </c>
      <c r="J56" s="322">
        <v>1.45</v>
      </c>
      <c r="K56" s="335">
        <f t="shared" si="9"/>
        <v>71080.000499999995</v>
      </c>
      <c r="L56" s="322"/>
      <c r="M56" s="335"/>
      <c r="N56" s="335">
        <f t="shared" si="4"/>
        <v>7108.0000499999996</v>
      </c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35">
        <f t="shared" si="1"/>
        <v>78188.000549999997</v>
      </c>
      <c r="Z56" s="335">
        <f t="shared" si="5"/>
        <v>938256.00659999996</v>
      </c>
    </row>
    <row r="57" spans="1:26" s="155" customFormat="1" ht="47.25">
      <c r="A57" s="322">
        <v>38</v>
      </c>
      <c r="B57" s="325" t="s">
        <v>496</v>
      </c>
      <c r="C57" s="325" t="s">
        <v>612</v>
      </c>
      <c r="D57" s="332" t="s">
        <v>497</v>
      </c>
      <c r="E57" s="322">
        <v>1</v>
      </c>
      <c r="F57" s="322">
        <v>1</v>
      </c>
      <c r="G57" s="322">
        <v>9.6999999999999993</v>
      </c>
      <c r="H57" s="322">
        <v>2.77</v>
      </c>
      <c r="I57" s="334">
        <v>17697</v>
      </c>
      <c r="J57" s="322">
        <v>1.45</v>
      </c>
      <c r="K57" s="335">
        <f t="shared" si="9"/>
        <v>71080.000499999995</v>
      </c>
      <c r="L57" s="322"/>
      <c r="M57" s="335"/>
      <c r="N57" s="335">
        <f t="shared" si="4"/>
        <v>7108.0000499999996</v>
      </c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35">
        <f t="shared" si="1"/>
        <v>78188.000549999997</v>
      </c>
      <c r="Z57" s="335">
        <f t="shared" si="5"/>
        <v>938256.00659999996</v>
      </c>
    </row>
    <row r="58" spans="1:26" s="155" customFormat="1" ht="33.75" customHeight="1">
      <c r="A58" s="322">
        <v>39</v>
      </c>
      <c r="B58" s="376" t="s">
        <v>220</v>
      </c>
      <c r="C58" s="345" t="s">
        <v>495</v>
      </c>
      <c r="D58" s="332" t="s">
        <v>490</v>
      </c>
      <c r="E58" s="332">
        <v>1</v>
      </c>
      <c r="F58" s="332" t="s">
        <v>11</v>
      </c>
      <c r="G58" s="332">
        <v>25</v>
      </c>
      <c r="H58" s="377">
        <v>4.83</v>
      </c>
      <c r="I58" s="373">
        <v>17697</v>
      </c>
      <c r="J58" s="322">
        <v>1.45</v>
      </c>
      <c r="K58" s="374">
        <f t="shared" si="9"/>
        <v>123940.93949999999</v>
      </c>
      <c r="L58" s="332"/>
      <c r="M58" s="335">
        <f>K58*25%</f>
        <v>30985.234874999998</v>
      </c>
      <c r="N58" s="335">
        <f t="shared" si="4"/>
        <v>15492.617437500001</v>
      </c>
      <c r="O58" s="332"/>
      <c r="P58" s="332">
        <v>5309</v>
      </c>
      <c r="Q58" s="332"/>
      <c r="R58" s="332"/>
      <c r="S58" s="332"/>
      <c r="T58" s="332"/>
      <c r="U58" s="332"/>
      <c r="V58" s="332"/>
      <c r="W58" s="332"/>
      <c r="X58" s="332"/>
      <c r="Y58" s="335">
        <f t="shared" si="1"/>
        <v>175727.79181250001</v>
      </c>
      <c r="Z58" s="335">
        <f t="shared" si="5"/>
        <v>2108733.5017500003</v>
      </c>
    </row>
    <row r="59" spans="1:26" s="108" customFormat="1" ht="36.75" customHeight="1">
      <c r="A59" s="322">
        <v>40</v>
      </c>
      <c r="B59" s="343" t="s">
        <v>495</v>
      </c>
      <c r="C59" s="343" t="s">
        <v>615</v>
      </c>
      <c r="D59" s="322" t="s">
        <v>497</v>
      </c>
      <c r="E59" s="322">
        <v>2</v>
      </c>
      <c r="F59" s="322">
        <v>3</v>
      </c>
      <c r="G59" s="322"/>
      <c r="H59" s="322">
        <v>2.84</v>
      </c>
      <c r="I59" s="334">
        <v>17697</v>
      </c>
      <c r="J59" s="322">
        <v>1.45</v>
      </c>
      <c r="K59" s="335">
        <f t="shared" ref="K59:K62" si="10">E59*H59*I59*J59</f>
        <v>145752.49199999997</v>
      </c>
      <c r="L59" s="322"/>
      <c r="M59" s="335"/>
      <c r="N59" s="335">
        <f t="shared" si="4"/>
        <v>14575.249199999998</v>
      </c>
      <c r="O59" s="322"/>
      <c r="P59" s="322"/>
      <c r="Q59" s="322"/>
      <c r="R59" s="322"/>
      <c r="S59" s="322">
        <v>34754</v>
      </c>
      <c r="T59" s="322"/>
      <c r="U59" s="322"/>
      <c r="V59" s="322"/>
      <c r="W59" s="322"/>
      <c r="X59" s="322"/>
      <c r="Y59" s="335">
        <f t="shared" si="1"/>
        <v>195081.74119999996</v>
      </c>
      <c r="Z59" s="335">
        <f t="shared" si="5"/>
        <v>2340980.8943999996</v>
      </c>
    </row>
    <row r="60" spans="1:26" s="108" customFormat="1" ht="50.25" customHeight="1">
      <c r="A60" s="322">
        <v>41</v>
      </c>
      <c r="B60" s="336" t="s">
        <v>651</v>
      </c>
      <c r="C60" s="323" t="s">
        <v>652</v>
      </c>
      <c r="D60" s="402" t="s">
        <v>497</v>
      </c>
      <c r="E60" s="322">
        <v>1</v>
      </c>
      <c r="F60" s="322">
        <v>1</v>
      </c>
      <c r="G60" s="228"/>
      <c r="H60" s="322">
        <v>2.77</v>
      </c>
      <c r="I60" s="334">
        <v>17697</v>
      </c>
      <c r="J60" s="322">
        <v>1.45</v>
      </c>
      <c r="K60" s="335">
        <f t="shared" si="10"/>
        <v>71080.000499999995</v>
      </c>
      <c r="L60" s="228"/>
      <c r="M60" s="228"/>
      <c r="N60" s="335">
        <f t="shared" si="4"/>
        <v>7108.0000499999996</v>
      </c>
      <c r="O60" s="228"/>
      <c r="P60" s="228"/>
      <c r="Q60" s="228"/>
      <c r="R60" s="228"/>
      <c r="S60" s="322">
        <v>16949</v>
      </c>
      <c r="T60" s="228"/>
      <c r="U60" s="228"/>
      <c r="V60" s="228"/>
      <c r="W60" s="228"/>
      <c r="X60" s="228"/>
      <c r="Y60" s="335">
        <f t="shared" ref="Y60:Y62" si="11">SUM(J60:X60)</f>
        <v>95138.450549999994</v>
      </c>
      <c r="Z60" s="335">
        <f t="shared" si="5"/>
        <v>1141661.4065999999</v>
      </c>
    </row>
    <row r="61" spans="1:26" ht="51" customHeight="1">
      <c r="A61" s="322">
        <v>42</v>
      </c>
      <c r="B61" s="336" t="s">
        <v>651</v>
      </c>
      <c r="C61" s="323" t="s">
        <v>653</v>
      </c>
      <c r="D61" s="402" t="s">
        <v>497</v>
      </c>
      <c r="E61" s="322">
        <v>1</v>
      </c>
      <c r="F61" s="322">
        <v>1</v>
      </c>
      <c r="G61" s="405"/>
      <c r="H61" s="322">
        <v>2.77</v>
      </c>
      <c r="I61" s="334">
        <v>17697</v>
      </c>
      <c r="J61" s="322">
        <v>1.45</v>
      </c>
      <c r="K61" s="335">
        <f t="shared" si="10"/>
        <v>71080.000499999995</v>
      </c>
      <c r="L61" s="406"/>
      <c r="M61" s="406"/>
      <c r="N61" s="335">
        <f t="shared" si="4"/>
        <v>7108.0000499999996</v>
      </c>
      <c r="O61" s="406"/>
      <c r="P61" s="406"/>
      <c r="Q61" s="406"/>
      <c r="R61" s="406"/>
      <c r="S61" s="322">
        <v>16949</v>
      </c>
      <c r="T61" s="406"/>
      <c r="U61" s="406"/>
      <c r="V61" s="406"/>
      <c r="W61" s="406"/>
      <c r="X61" s="406"/>
      <c r="Y61" s="335">
        <f t="shared" si="11"/>
        <v>95138.450549999994</v>
      </c>
      <c r="Z61" s="335">
        <f t="shared" si="5"/>
        <v>1141661.4065999999</v>
      </c>
    </row>
    <row r="62" spans="1:26" ht="50.25" customHeight="1">
      <c r="A62" s="322">
        <v>43</v>
      </c>
      <c r="B62" s="336" t="s">
        <v>651</v>
      </c>
      <c r="C62" s="323" t="s">
        <v>654</v>
      </c>
      <c r="D62" s="322" t="s">
        <v>497</v>
      </c>
      <c r="E62" s="322">
        <v>1</v>
      </c>
      <c r="F62" s="322">
        <v>1</v>
      </c>
      <c r="G62" s="405"/>
      <c r="H62" s="322">
        <v>2.77</v>
      </c>
      <c r="I62" s="334">
        <v>17697</v>
      </c>
      <c r="J62" s="322">
        <v>1.45</v>
      </c>
      <c r="K62" s="335">
        <f t="shared" si="10"/>
        <v>71080.000499999995</v>
      </c>
      <c r="L62" s="406"/>
      <c r="M62" s="406"/>
      <c r="N62" s="335">
        <f t="shared" si="4"/>
        <v>7108.0000499999996</v>
      </c>
      <c r="O62" s="406"/>
      <c r="P62" s="406"/>
      <c r="Q62" s="406"/>
      <c r="R62" s="406"/>
      <c r="S62" s="322">
        <v>16949</v>
      </c>
      <c r="T62" s="406"/>
      <c r="U62" s="406"/>
      <c r="V62" s="406"/>
      <c r="W62" s="406"/>
      <c r="X62" s="406"/>
      <c r="Y62" s="335">
        <f t="shared" si="11"/>
        <v>95138.450549999994</v>
      </c>
      <c r="Z62" s="335">
        <f t="shared" si="5"/>
        <v>1141661.4065999999</v>
      </c>
    </row>
    <row r="63" spans="1:26" ht="50.25" customHeight="1">
      <c r="A63" s="347"/>
      <c r="B63" s="410"/>
      <c r="C63" s="411"/>
      <c r="D63" s="347"/>
      <c r="E63" s="347"/>
      <c r="F63" s="347"/>
      <c r="G63" s="412"/>
      <c r="H63" s="347"/>
      <c r="I63" s="408"/>
      <c r="J63" s="347"/>
      <c r="K63" s="409"/>
      <c r="L63" s="413"/>
      <c r="M63" s="413"/>
      <c r="N63" s="409"/>
      <c r="O63" s="413"/>
      <c r="P63" s="413"/>
      <c r="Q63" s="413"/>
      <c r="R63" s="413"/>
      <c r="S63" s="347"/>
      <c r="T63" s="413"/>
      <c r="U63" s="413"/>
      <c r="V63" s="413"/>
      <c r="W63" s="413"/>
      <c r="X63" s="413"/>
      <c r="Y63" s="409"/>
      <c r="Z63" s="409"/>
    </row>
    <row r="64" spans="1:26" ht="21" customHeight="1">
      <c r="B64" s="352" t="s">
        <v>641</v>
      </c>
      <c r="C64" s="353"/>
      <c r="D64" s="354"/>
      <c r="E64" s="243"/>
      <c r="F64" s="243"/>
      <c r="G64" s="182"/>
      <c r="H64" s="190"/>
      <c r="I64" s="275"/>
      <c r="J64" s="275"/>
    </row>
    <row r="65" spans="2:10" ht="7.5" customHeight="1">
      <c r="B65" s="273"/>
      <c r="C65" s="353"/>
      <c r="D65" s="354"/>
      <c r="E65" s="243"/>
      <c r="F65" s="243"/>
      <c r="G65" s="20"/>
      <c r="H65" s="42"/>
      <c r="I65" s="246"/>
      <c r="J65" s="246"/>
    </row>
    <row r="66" spans="2:10" ht="21.75" customHeight="1">
      <c r="B66" s="352" t="s">
        <v>639</v>
      </c>
      <c r="C66" s="353"/>
      <c r="D66" s="354"/>
      <c r="E66" s="243"/>
      <c r="F66" s="243"/>
      <c r="G66" s="20"/>
      <c r="H66" s="42"/>
      <c r="I66" s="246"/>
      <c r="J66" s="246"/>
    </row>
    <row r="67" spans="2:10" ht="3.75" customHeight="1">
      <c r="B67" s="245"/>
      <c r="C67" s="353"/>
      <c r="D67" s="354"/>
      <c r="E67" s="243"/>
      <c r="F67" s="243"/>
      <c r="G67" s="20"/>
      <c r="H67" s="42"/>
      <c r="I67" s="246"/>
      <c r="J67" s="246"/>
    </row>
    <row r="68" spans="2:10" ht="20.25">
      <c r="B68" s="352" t="s">
        <v>640</v>
      </c>
      <c r="C68" s="244"/>
      <c r="D68" s="288"/>
      <c r="E68" s="244"/>
      <c r="F68" s="2"/>
      <c r="G68" s="48"/>
      <c r="H68" s="41"/>
      <c r="I68" s="244"/>
      <c r="J68" s="244"/>
    </row>
  </sheetData>
  <mergeCells count="21">
    <mergeCell ref="A12:Z12"/>
    <mergeCell ref="A14:A15"/>
    <mergeCell ref="B14:B15"/>
    <mergeCell ref="C14:C15"/>
    <mergeCell ref="D14:D15"/>
    <mergeCell ref="E14:E15"/>
    <mergeCell ref="F14:F15"/>
    <mergeCell ref="G14:G15"/>
    <mergeCell ref="H14:H15"/>
    <mergeCell ref="T14:X14"/>
    <mergeCell ref="Y14:Y15"/>
    <mergeCell ref="Z14:Z15"/>
    <mergeCell ref="I14:I15"/>
    <mergeCell ref="J14:J15"/>
    <mergeCell ref="K14:K15"/>
    <mergeCell ref="L14:L15"/>
    <mergeCell ref="M14:M15"/>
    <mergeCell ref="N14:S14"/>
    <mergeCell ref="A23:A24"/>
    <mergeCell ref="C23:C24"/>
    <mergeCell ref="D23:D24"/>
  </mergeCells>
  <printOptions horizontalCentered="1"/>
  <pageMargins left="0" right="0" top="0.31496062992125984" bottom="0.27559055118110237" header="0" footer="0"/>
  <pageSetup paperSize="9" scale="48" orientation="landscape" r:id="rId1"/>
  <rowBreaks count="2" manualBreakCount="2">
    <brk id="30" max="26" man="1"/>
    <brk id="51" max="26" man="1"/>
  </rowBreaks>
  <colBreaks count="1" manualBreakCount="1">
    <brk id="26" max="1048575" man="1"/>
  </colBreaks>
  <ignoredErrors>
    <ignoredError sqref="Y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4:AO107"/>
  <sheetViews>
    <sheetView zoomScale="70" zoomScaleNormal="70" zoomScaleSheetLayoutView="55" workbookViewId="0">
      <selection activeCell="AN21" sqref="AN21"/>
    </sheetView>
  </sheetViews>
  <sheetFormatPr defaultColWidth="16.42578125" defaultRowHeight="15"/>
  <cols>
    <col min="1" max="1" width="7.28515625" style="294" customWidth="1"/>
    <col min="2" max="2" width="40.85546875" style="295" customWidth="1"/>
    <col min="3" max="3" width="16.42578125" style="295" customWidth="1"/>
    <col min="4" max="4" width="10" style="294" customWidth="1"/>
    <col min="5" max="5" width="9.5703125" style="296" customWidth="1"/>
    <col min="6" max="6" width="9.140625" style="297" customWidth="1"/>
    <col min="7" max="7" width="8.42578125" style="298" customWidth="1"/>
    <col min="8" max="8" width="11.28515625" style="299" customWidth="1"/>
    <col min="9" max="9" width="8.5703125" style="300" customWidth="1"/>
    <col min="10" max="10" width="10.28515625" style="299" customWidth="1"/>
    <col min="11" max="11" width="10" style="294" customWidth="1"/>
    <col min="12" max="12" width="9.7109375" style="294" customWidth="1"/>
    <col min="13" max="13" width="14" style="299" customWidth="1"/>
    <col min="14" max="14" width="8.140625" style="294" customWidth="1"/>
    <col min="15" max="15" width="13.85546875" style="299" customWidth="1"/>
    <col min="16" max="16" width="9.140625" style="294" customWidth="1"/>
    <col min="17" max="17" width="13.7109375" style="299" customWidth="1"/>
    <col min="18" max="18" width="14.140625" style="294" customWidth="1"/>
    <col min="19" max="19" width="14.5703125" style="299" customWidth="1"/>
    <col min="20" max="20" width="14.42578125" style="301" customWidth="1"/>
    <col min="21" max="21" width="7" style="294" customWidth="1"/>
    <col min="22" max="22" width="11.140625" style="299" customWidth="1"/>
    <col min="23" max="23" width="7.28515625" style="302" customWidth="1"/>
    <col min="24" max="24" width="10.7109375" style="299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9" customWidth="1"/>
    <col min="29" max="29" width="13.28515625" style="299" customWidth="1"/>
    <col min="30" max="30" width="11" style="299" customWidth="1"/>
    <col min="31" max="31" width="14" style="294" customWidth="1"/>
    <col min="32" max="32" width="9.140625" style="294" customWidth="1"/>
    <col min="33" max="34" width="10.140625" style="294" customWidth="1"/>
    <col min="35" max="35" width="14.140625" style="294" customWidth="1"/>
    <col min="36" max="37" width="14" style="294" customWidth="1"/>
    <col min="38" max="38" width="8.85546875" style="294" customWidth="1"/>
    <col min="39" max="39" width="14.140625" style="299" customWidth="1"/>
    <col min="40" max="40" width="14" style="299" customWidth="1"/>
    <col min="41" max="16384" width="16.42578125" style="294"/>
  </cols>
  <sheetData>
    <row r="4" spans="1:41" s="245" customFormat="1" ht="18.75" customHeight="1">
      <c r="A4" s="241" t="s">
        <v>617</v>
      </c>
      <c r="J4" s="263"/>
      <c r="K4" s="237"/>
      <c r="L4" s="237"/>
      <c r="M4" s="237"/>
      <c r="N4" s="237"/>
      <c r="O4" s="241" t="s">
        <v>571</v>
      </c>
      <c r="P4" s="237"/>
      <c r="Q4" s="237"/>
      <c r="R4" s="237"/>
      <c r="S4" s="236"/>
      <c r="T4" s="236"/>
      <c r="U4" s="237"/>
      <c r="V4" s="237"/>
      <c r="W4" s="237"/>
      <c r="X4" s="237"/>
      <c r="Y4" s="6"/>
      <c r="Z4" s="6"/>
      <c r="AA4" s="6"/>
      <c r="AB4" s="237"/>
      <c r="AC4" s="237"/>
      <c r="AD4" s="237"/>
      <c r="AE4" s="237"/>
      <c r="AF4" s="237"/>
      <c r="AK4" s="240"/>
      <c r="AL4" s="240"/>
      <c r="AM4" s="242"/>
      <c r="AN4" s="242"/>
      <c r="AO4" s="243"/>
    </row>
    <row r="5" spans="1:41" s="245" customFormat="1" ht="18" customHeight="1">
      <c r="A5" s="236" t="s">
        <v>572</v>
      </c>
      <c r="J5" s="263"/>
      <c r="K5" s="237"/>
      <c r="L5" s="237"/>
      <c r="M5" s="237"/>
      <c r="N5" s="237"/>
      <c r="O5" s="236" t="s">
        <v>572</v>
      </c>
      <c r="P5" s="237"/>
      <c r="Q5" s="237"/>
      <c r="R5" s="237"/>
      <c r="S5" s="236"/>
      <c r="T5" s="236"/>
      <c r="U5" s="237"/>
      <c r="V5" s="237"/>
      <c r="W5" s="237"/>
      <c r="X5" s="237"/>
      <c r="Y5" s="6"/>
      <c r="Z5" s="6"/>
      <c r="AA5" s="6"/>
      <c r="AB5" s="237"/>
      <c r="AC5" s="237"/>
      <c r="AD5" s="237"/>
      <c r="AE5" s="237"/>
      <c r="AF5" s="237"/>
      <c r="AK5" s="240"/>
      <c r="AL5" s="240"/>
      <c r="AM5" s="242"/>
      <c r="AN5" s="242"/>
      <c r="AO5" s="243"/>
    </row>
    <row r="6" spans="1:41" s="245" customFormat="1" ht="18" customHeight="1">
      <c r="A6" s="241" t="s">
        <v>634</v>
      </c>
      <c r="J6" s="263"/>
      <c r="K6" s="237"/>
      <c r="L6" s="237"/>
      <c r="M6" s="237"/>
      <c r="N6" s="237"/>
      <c r="O6" s="241" t="s">
        <v>632</v>
      </c>
      <c r="P6" s="237"/>
      <c r="Q6" s="237"/>
      <c r="R6" s="237"/>
      <c r="S6" s="249"/>
      <c r="T6" s="249"/>
      <c r="U6" s="237"/>
      <c r="V6" s="237"/>
      <c r="W6" s="237"/>
      <c r="X6" s="237"/>
      <c r="Y6" s="6"/>
      <c r="Z6" s="6"/>
      <c r="AA6" s="6"/>
      <c r="AB6" s="237"/>
      <c r="AC6" s="237"/>
      <c r="AD6" s="237"/>
      <c r="AE6" s="237"/>
      <c r="AF6" s="237"/>
      <c r="AK6" s="237"/>
      <c r="AL6" s="237"/>
      <c r="AM6" s="250"/>
      <c r="AN6" s="250"/>
      <c r="AO6" s="251"/>
    </row>
    <row r="7" spans="1:41" s="245" customFormat="1" ht="19.5" customHeight="1">
      <c r="A7" s="241" t="s">
        <v>633</v>
      </c>
      <c r="J7" s="263"/>
      <c r="K7" s="237"/>
      <c r="L7" s="237"/>
      <c r="M7" s="237"/>
      <c r="N7" s="237"/>
      <c r="O7" s="241" t="s">
        <v>635</v>
      </c>
      <c r="P7" s="237"/>
      <c r="Q7" s="237"/>
      <c r="R7" s="237"/>
      <c r="S7" s="252"/>
      <c r="T7" s="252"/>
      <c r="U7" s="237"/>
      <c r="V7" s="237"/>
      <c r="W7" s="237"/>
      <c r="X7" s="237"/>
      <c r="Y7" s="6"/>
      <c r="Z7" s="6"/>
      <c r="AA7" s="6"/>
      <c r="AB7" s="237"/>
      <c r="AC7" s="237"/>
      <c r="AD7" s="237"/>
      <c r="AE7" s="237"/>
      <c r="AF7" s="237"/>
      <c r="AK7" s="237"/>
      <c r="AL7" s="237"/>
      <c r="AM7" s="253"/>
      <c r="AN7" s="254"/>
    </row>
    <row r="8" spans="1:41" s="245" customFormat="1" ht="14.25" customHeight="1">
      <c r="J8" s="263"/>
      <c r="K8" s="237"/>
      <c r="L8" s="237"/>
      <c r="M8" s="237"/>
      <c r="N8" s="237"/>
      <c r="O8" s="241" t="s">
        <v>623</v>
      </c>
      <c r="P8" s="237"/>
      <c r="Q8" s="237"/>
      <c r="R8" s="237"/>
      <c r="S8" s="255"/>
      <c r="T8" s="252"/>
      <c r="U8" s="237"/>
      <c r="V8" s="237"/>
      <c r="W8" s="237"/>
      <c r="X8" s="237"/>
      <c r="Y8" s="6"/>
      <c r="Z8" s="6"/>
      <c r="AA8" s="6"/>
      <c r="AB8" s="237"/>
      <c r="AC8" s="237"/>
      <c r="AD8" s="237"/>
      <c r="AE8" s="237"/>
      <c r="AF8" s="237"/>
      <c r="AK8" s="237"/>
      <c r="AL8" s="237"/>
      <c r="AM8" s="256"/>
      <c r="AN8" s="254"/>
    </row>
    <row r="9" spans="1:41" s="245" customFormat="1" ht="14.25" customHeight="1">
      <c r="J9" s="264"/>
      <c r="K9" s="255"/>
      <c r="L9" s="255"/>
      <c r="M9" s="255"/>
      <c r="N9" s="255"/>
      <c r="O9" s="255"/>
      <c r="P9" s="255"/>
      <c r="Q9" s="255"/>
      <c r="R9" s="255"/>
      <c r="S9" s="255"/>
      <c r="T9" s="252"/>
      <c r="U9" s="237"/>
      <c r="V9" s="237"/>
      <c r="W9" s="237"/>
      <c r="X9" s="237"/>
      <c r="Y9" s="6"/>
      <c r="Z9" s="6"/>
      <c r="AA9" s="6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57"/>
      <c r="AM9" s="256"/>
      <c r="AN9" s="254"/>
    </row>
    <row r="10" spans="1:41" s="245" customFormat="1" ht="14.25" customHeight="1">
      <c r="J10" s="264"/>
      <c r="K10" s="255"/>
      <c r="L10" s="255"/>
      <c r="M10" s="255"/>
      <c r="N10" s="255"/>
      <c r="O10" s="255"/>
      <c r="P10" s="255"/>
      <c r="Q10" s="255"/>
      <c r="R10" s="255"/>
      <c r="S10" s="255"/>
      <c r="T10" s="351"/>
      <c r="U10" s="237"/>
      <c r="V10" s="237"/>
      <c r="W10" s="237"/>
      <c r="X10" s="237"/>
      <c r="Y10" s="6"/>
      <c r="Z10" s="6"/>
      <c r="AA10" s="6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57"/>
      <c r="AM10" s="256"/>
      <c r="AN10" s="254"/>
    </row>
    <row r="11" spans="1:41" s="245" customFormat="1" ht="30.75" customHeight="1">
      <c r="A11" s="584"/>
      <c r="B11" s="585"/>
      <c r="C11" s="586"/>
      <c r="D11" s="360" t="s">
        <v>471</v>
      </c>
      <c r="E11" s="350" t="s">
        <v>15</v>
      </c>
      <c r="F11" s="350" t="s">
        <v>16</v>
      </c>
      <c r="G11" s="234" t="s">
        <v>17</v>
      </c>
      <c r="J11" s="264"/>
      <c r="K11" s="255"/>
      <c r="L11" s="255"/>
      <c r="M11" s="255"/>
      <c r="N11" s="255"/>
      <c r="O11" s="255"/>
      <c r="P11" s="255"/>
      <c r="Q11" s="255"/>
      <c r="R11" s="255"/>
      <c r="S11" s="255"/>
      <c r="T11" s="351"/>
      <c r="U11" s="237"/>
      <c r="V11" s="237"/>
      <c r="W11" s="237"/>
      <c r="X11" s="237"/>
      <c r="Y11" s="6"/>
      <c r="Z11" s="6"/>
      <c r="AA11" s="6"/>
      <c r="AB11" s="237"/>
      <c r="AC11" s="237"/>
      <c r="AD11" s="237"/>
      <c r="AE11" s="237"/>
      <c r="AF11" s="258"/>
      <c r="AG11" s="259"/>
      <c r="AH11" s="237"/>
      <c r="AI11" s="237"/>
      <c r="AJ11" s="237"/>
      <c r="AK11" s="237"/>
      <c r="AL11" s="260"/>
      <c r="AM11" s="256"/>
      <c r="AN11" s="254"/>
    </row>
    <row r="12" spans="1:41" s="245" customFormat="1" ht="24" customHeight="1">
      <c r="A12" s="247" t="s">
        <v>18</v>
      </c>
      <c r="B12" s="248"/>
      <c r="C12" s="248"/>
      <c r="D12" s="350">
        <f>L21</f>
        <v>364</v>
      </c>
      <c r="E12" s="312">
        <f>N21</f>
        <v>711</v>
      </c>
      <c r="F12" s="312">
        <f>P21</f>
        <v>154</v>
      </c>
      <c r="G12" s="235">
        <f>E12+F12+D12</f>
        <v>1229</v>
      </c>
      <c r="H12" s="239"/>
      <c r="I12" s="238"/>
      <c r="J12" s="351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7"/>
      <c r="V12" s="237"/>
      <c r="W12" s="237"/>
      <c r="X12" s="237"/>
      <c r="Y12" s="6"/>
      <c r="Z12" s="6"/>
      <c r="AA12" s="6"/>
      <c r="AB12" s="237"/>
      <c r="AC12" s="237"/>
      <c r="AD12" s="237"/>
      <c r="AE12" s="237"/>
      <c r="AF12" s="261"/>
      <c r="AG12" s="261"/>
      <c r="AH12" s="261"/>
      <c r="AI12" s="261"/>
      <c r="AJ12" s="261"/>
      <c r="AK12" s="261"/>
      <c r="AL12" s="261"/>
      <c r="AM12" s="256"/>
      <c r="AN12" s="254"/>
    </row>
    <row r="13" spans="1:41" s="245" customFormat="1" ht="17.25" customHeight="1">
      <c r="A13" s="361" t="s">
        <v>636</v>
      </c>
      <c r="B13" s="248"/>
      <c r="C13" s="362"/>
      <c r="D13" s="350">
        <v>271</v>
      </c>
      <c r="E13" s="350">
        <v>321</v>
      </c>
      <c r="F13" s="350">
        <v>49</v>
      </c>
      <c r="G13" s="235">
        <f>E13+F13+D13</f>
        <v>641</v>
      </c>
      <c r="H13" s="239"/>
      <c r="I13" s="238"/>
      <c r="J13" s="351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7"/>
      <c r="V13" s="237"/>
      <c r="W13" s="237"/>
      <c r="X13" s="237"/>
      <c r="Y13" s="6"/>
      <c r="Z13" s="6"/>
      <c r="AA13" s="6"/>
      <c r="AB13" s="237"/>
      <c r="AC13" s="237"/>
      <c r="AD13" s="237"/>
      <c r="AE13" s="237"/>
      <c r="AF13" s="261"/>
      <c r="AG13" s="261"/>
      <c r="AH13" s="261"/>
      <c r="AI13" s="261"/>
      <c r="AJ13" s="261"/>
      <c r="AK13" s="261"/>
      <c r="AL13" s="261"/>
      <c r="AM13" s="256"/>
      <c r="AN13" s="254"/>
    </row>
    <row r="14" spans="1:41" s="245" customFormat="1" ht="22.5" customHeight="1">
      <c r="A14" s="587" t="s">
        <v>637</v>
      </c>
      <c r="B14" s="588"/>
      <c r="C14" s="589"/>
      <c r="D14" s="350">
        <v>14</v>
      </c>
      <c r="E14" s="350">
        <v>17</v>
      </c>
      <c r="F14" s="350">
        <v>4</v>
      </c>
      <c r="G14" s="235">
        <f>E14+F14+D14</f>
        <v>35</v>
      </c>
      <c r="H14" s="239"/>
      <c r="I14" s="238"/>
      <c r="J14" s="351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7"/>
      <c r="V14" s="237"/>
      <c r="W14" s="237"/>
      <c r="X14" s="237"/>
      <c r="Y14" s="6"/>
      <c r="Z14" s="6"/>
      <c r="AA14" s="6"/>
      <c r="AB14" s="237"/>
      <c r="AC14" s="237"/>
      <c r="AD14" s="237"/>
      <c r="AE14" s="237"/>
      <c r="AF14" s="261"/>
      <c r="AG14" s="261"/>
      <c r="AH14" s="261"/>
      <c r="AI14" s="261"/>
      <c r="AJ14" s="261"/>
      <c r="AK14" s="261"/>
      <c r="AL14" s="261"/>
      <c r="AM14" s="256"/>
      <c r="AN14" s="254"/>
    </row>
    <row r="15" spans="1:41" s="245" customFormat="1" ht="17.25" customHeight="1">
      <c r="A15" s="262"/>
      <c r="B15" s="263"/>
      <c r="C15" s="262"/>
      <c r="D15" s="356"/>
      <c r="E15" s="356"/>
      <c r="F15" s="356"/>
      <c r="G15" s="357"/>
      <c r="H15" s="239"/>
      <c r="I15" s="238"/>
      <c r="J15" s="351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7"/>
      <c r="V15" s="237"/>
      <c r="W15" s="237"/>
      <c r="X15" s="237"/>
      <c r="Y15" s="6"/>
      <c r="Z15" s="6"/>
      <c r="AA15" s="6"/>
      <c r="AB15" s="237"/>
      <c r="AC15" s="237"/>
      <c r="AD15" s="237"/>
      <c r="AE15" s="237"/>
      <c r="AF15" s="261"/>
      <c r="AG15" s="261"/>
      <c r="AH15" s="261"/>
      <c r="AI15" s="261"/>
      <c r="AJ15" s="261"/>
      <c r="AK15" s="261"/>
      <c r="AL15" s="261"/>
      <c r="AM15" s="256"/>
      <c r="AN15" s="254"/>
    </row>
    <row r="16" spans="1:41" s="245" customFormat="1" ht="32.25" customHeight="1">
      <c r="A16" s="550" t="s">
        <v>642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</row>
    <row r="17" spans="1:41" s="245" customFormat="1" ht="14.25" customHeight="1">
      <c r="A17" s="265"/>
      <c r="B17" s="156"/>
      <c r="C17" s="156"/>
      <c r="D17" s="265"/>
      <c r="E17" s="265"/>
      <c r="F17" s="266"/>
      <c r="G17" s="267"/>
      <c r="H17" s="268"/>
      <c r="I17" s="265"/>
      <c r="J17" s="269"/>
      <c r="K17" s="270"/>
      <c r="L17" s="270"/>
      <c r="M17" s="269"/>
      <c r="N17" s="270"/>
      <c r="O17" s="271"/>
      <c r="P17" s="270"/>
      <c r="Q17" s="271"/>
      <c r="R17" s="270"/>
      <c r="S17" s="269"/>
      <c r="T17" s="270"/>
      <c r="U17" s="270"/>
      <c r="V17" s="269"/>
      <c r="W17" s="272"/>
      <c r="X17" s="269"/>
      <c r="Y17" s="314"/>
      <c r="Z17" s="315"/>
      <c r="AA17" s="316"/>
      <c r="AB17" s="269"/>
      <c r="AC17" s="269"/>
      <c r="AD17" s="269"/>
      <c r="AE17" s="270"/>
      <c r="AF17" s="590"/>
      <c r="AG17" s="590"/>
      <c r="AH17" s="590"/>
      <c r="AI17" s="590"/>
      <c r="AJ17" s="590"/>
      <c r="AK17" s="590"/>
      <c r="AL17" s="590"/>
      <c r="AM17" s="590"/>
      <c r="AN17" s="254"/>
    </row>
    <row r="18" spans="1:41" s="22" customFormat="1" ht="30.75" customHeight="1">
      <c r="A18" s="556" t="s">
        <v>22</v>
      </c>
      <c r="B18" s="556" t="s">
        <v>23</v>
      </c>
      <c r="C18" s="556" t="s">
        <v>24</v>
      </c>
      <c r="D18" s="591" t="s">
        <v>25</v>
      </c>
      <c r="E18" s="591" t="s">
        <v>35</v>
      </c>
      <c r="F18" s="592" t="s">
        <v>26</v>
      </c>
      <c r="G18" s="591" t="s">
        <v>27</v>
      </c>
      <c r="H18" s="555" t="s">
        <v>58</v>
      </c>
      <c r="I18" s="551" t="s">
        <v>57</v>
      </c>
      <c r="J18" s="555" t="s">
        <v>53</v>
      </c>
      <c r="K18" s="591" t="s">
        <v>28</v>
      </c>
      <c r="L18" s="578" t="s">
        <v>29</v>
      </c>
      <c r="M18" s="579"/>
      <c r="N18" s="579"/>
      <c r="O18" s="579"/>
      <c r="P18" s="579"/>
      <c r="Q18" s="580"/>
      <c r="R18" s="565" t="s">
        <v>60</v>
      </c>
      <c r="S18" s="568" t="s">
        <v>42</v>
      </c>
      <c r="T18" s="571">
        <v>0.1</v>
      </c>
      <c r="U18" s="572" t="s">
        <v>472</v>
      </c>
      <c r="V18" s="573"/>
      <c r="W18" s="573"/>
      <c r="X18" s="574"/>
      <c r="Y18" s="575" t="s">
        <v>474</v>
      </c>
      <c r="Z18" s="575"/>
      <c r="AA18" s="575"/>
      <c r="AB18" s="561"/>
      <c r="AC18" s="557" t="s">
        <v>475</v>
      </c>
      <c r="AD18" s="557" t="s">
        <v>477</v>
      </c>
      <c r="AE18" s="558" t="s">
        <v>65</v>
      </c>
      <c r="AF18" s="560" t="s">
        <v>621</v>
      </c>
      <c r="AG18" s="561"/>
      <c r="AH18" s="564" t="s">
        <v>476</v>
      </c>
      <c r="AI18" s="564" t="s">
        <v>44</v>
      </c>
      <c r="AJ18" s="564"/>
      <c r="AK18" s="564"/>
      <c r="AL18" s="564"/>
      <c r="AM18" s="555" t="s">
        <v>66</v>
      </c>
      <c r="AN18" s="555" t="s">
        <v>67</v>
      </c>
    </row>
    <row r="19" spans="1:41" s="22" customFormat="1" ht="84.75" customHeight="1">
      <c r="A19" s="556"/>
      <c r="B19" s="556"/>
      <c r="C19" s="556"/>
      <c r="D19" s="591"/>
      <c r="E19" s="591"/>
      <c r="F19" s="592"/>
      <c r="G19" s="591"/>
      <c r="H19" s="555"/>
      <c r="I19" s="593"/>
      <c r="J19" s="555"/>
      <c r="K19" s="591"/>
      <c r="L19" s="581"/>
      <c r="M19" s="582"/>
      <c r="N19" s="582"/>
      <c r="O19" s="582"/>
      <c r="P19" s="582"/>
      <c r="Q19" s="583"/>
      <c r="R19" s="566"/>
      <c r="S19" s="569"/>
      <c r="T19" s="571"/>
      <c r="U19" s="556" t="s">
        <v>469</v>
      </c>
      <c r="V19" s="556"/>
      <c r="W19" s="556" t="s">
        <v>473</v>
      </c>
      <c r="X19" s="556"/>
      <c r="Y19" s="576"/>
      <c r="Z19" s="576"/>
      <c r="AA19" s="576"/>
      <c r="AB19" s="577"/>
      <c r="AC19" s="557"/>
      <c r="AD19" s="557"/>
      <c r="AE19" s="558"/>
      <c r="AF19" s="562"/>
      <c r="AG19" s="563"/>
      <c r="AH19" s="564"/>
      <c r="AI19" s="557" t="s">
        <v>577</v>
      </c>
      <c r="AJ19" s="557" t="s">
        <v>46</v>
      </c>
      <c r="AK19" s="557" t="s">
        <v>49</v>
      </c>
      <c r="AL19" s="557" t="s">
        <v>47</v>
      </c>
      <c r="AM19" s="555"/>
      <c r="AN19" s="555"/>
    </row>
    <row r="20" spans="1:41" s="22" customFormat="1" ht="35.25" customHeight="1">
      <c r="A20" s="556"/>
      <c r="B20" s="556"/>
      <c r="C20" s="556"/>
      <c r="D20" s="591"/>
      <c r="E20" s="591"/>
      <c r="F20" s="592"/>
      <c r="G20" s="591"/>
      <c r="H20" s="555"/>
      <c r="I20" s="552"/>
      <c r="J20" s="555"/>
      <c r="K20" s="591"/>
      <c r="L20" s="329" t="s">
        <v>470</v>
      </c>
      <c r="M20" s="363" t="s">
        <v>478</v>
      </c>
      <c r="N20" s="329" t="s">
        <v>575</v>
      </c>
      <c r="O20" s="363" t="s">
        <v>478</v>
      </c>
      <c r="P20" s="329" t="s">
        <v>576</v>
      </c>
      <c r="Q20" s="363" t="s">
        <v>478</v>
      </c>
      <c r="R20" s="567"/>
      <c r="S20" s="570"/>
      <c r="T20" s="556"/>
      <c r="U20" s="364">
        <v>0.5</v>
      </c>
      <c r="V20" s="317" t="s">
        <v>478</v>
      </c>
      <c r="W20" s="364">
        <v>0.6</v>
      </c>
      <c r="X20" s="317" t="s">
        <v>478</v>
      </c>
      <c r="Y20" s="364">
        <v>0.4</v>
      </c>
      <c r="Z20" s="317" t="s">
        <v>478</v>
      </c>
      <c r="AA20" s="364">
        <v>0.5</v>
      </c>
      <c r="AB20" s="317" t="s">
        <v>478</v>
      </c>
      <c r="AC20" s="557"/>
      <c r="AD20" s="557"/>
      <c r="AE20" s="559"/>
      <c r="AF20" s="329" t="s">
        <v>479</v>
      </c>
      <c r="AG20" s="317" t="s">
        <v>478</v>
      </c>
      <c r="AH20" s="564"/>
      <c r="AI20" s="557"/>
      <c r="AJ20" s="557"/>
      <c r="AK20" s="557"/>
      <c r="AL20" s="557"/>
      <c r="AM20" s="555"/>
      <c r="AN20" s="555"/>
    </row>
    <row r="21" spans="1:41" s="369" customFormat="1" ht="19.5" customHeight="1">
      <c r="A21" s="365"/>
      <c r="B21" s="318"/>
      <c r="C21" s="318"/>
      <c r="D21" s="365"/>
      <c r="E21" s="318"/>
      <c r="F21" s="318"/>
      <c r="G21" s="365"/>
      <c r="H21" s="318"/>
      <c r="I21" s="318"/>
      <c r="J21" s="365"/>
      <c r="K21" s="359">
        <f t="shared" ref="K21:AN21" si="0">SUM(K22:K97)</f>
        <v>76.8125</v>
      </c>
      <c r="L21" s="366">
        <f>SUM(L22:L97)</f>
        <v>364</v>
      </c>
      <c r="M21" s="359">
        <f t="shared" si="0"/>
        <v>3916147.00875</v>
      </c>
      <c r="N21" s="318">
        <f t="shared" si="0"/>
        <v>711</v>
      </c>
      <c r="O21" s="359">
        <f t="shared" si="0"/>
        <v>7635038.8312500007</v>
      </c>
      <c r="P21" s="318">
        <f t="shared" si="0"/>
        <v>154</v>
      </c>
      <c r="Q21" s="359">
        <f t="shared" si="0"/>
        <v>1715525.0587499996</v>
      </c>
      <c r="R21" s="359">
        <f t="shared" si="0"/>
        <v>3316677.7246875004</v>
      </c>
      <c r="S21" s="359">
        <f t="shared" si="0"/>
        <v>16583388.623437496</v>
      </c>
      <c r="T21" s="359">
        <f t="shared" si="0"/>
        <v>1658338.8623437502</v>
      </c>
      <c r="U21" s="318">
        <f>SUM(U22:U97)</f>
        <v>14</v>
      </c>
      <c r="V21" s="318">
        <f t="shared" si="0"/>
        <v>123879</v>
      </c>
      <c r="W21" s="318">
        <f t="shared" si="0"/>
        <v>18.5</v>
      </c>
      <c r="X21" s="318">
        <f t="shared" si="0"/>
        <v>196436.70000000007</v>
      </c>
      <c r="Y21" s="359">
        <f t="shared" si="0"/>
        <v>361</v>
      </c>
      <c r="Z21" s="318">
        <f t="shared" si="0"/>
        <v>159715.42500000002</v>
      </c>
      <c r="AA21" s="359">
        <f t="shared" si="0"/>
        <v>150</v>
      </c>
      <c r="AB21" s="318">
        <f t="shared" si="0"/>
        <v>82954.6875</v>
      </c>
      <c r="AC21" s="367">
        <f>SUM(AC22:AC97)</f>
        <v>69000</v>
      </c>
      <c r="AD21" s="318">
        <f t="shared" si="0"/>
        <v>35394</v>
      </c>
      <c r="AE21" s="359">
        <f t="shared" si="0"/>
        <v>4975016.5870312536</v>
      </c>
      <c r="AF21" s="318">
        <f t="shared" si="0"/>
        <v>0</v>
      </c>
      <c r="AG21" s="318">
        <f t="shared" si="0"/>
        <v>0</v>
      </c>
      <c r="AH21" s="318">
        <f t="shared" si="0"/>
        <v>24773</v>
      </c>
      <c r="AI21" s="359">
        <f t="shared" si="0"/>
        <v>1215916.6274999997</v>
      </c>
      <c r="AJ21" s="359">
        <f t="shared" si="0"/>
        <v>2414082.334453125</v>
      </c>
      <c r="AK21" s="359">
        <f t="shared" si="0"/>
        <v>1278575.068125</v>
      </c>
      <c r="AL21" s="318">
        <f t="shared" si="0"/>
        <v>0</v>
      </c>
      <c r="AM21" s="367">
        <f>SUM(AM22:AM97)</f>
        <v>28817470.91539064</v>
      </c>
      <c r="AN21" s="318">
        <f t="shared" si="0"/>
        <v>345809650.98468751</v>
      </c>
      <c r="AO21" s="368"/>
    </row>
    <row r="22" spans="1:41" s="2" customFormat="1" ht="19.5" customHeight="1">
      <c r="A22" s="381">
        <v>1</v>
      </c>
      <c r="B22" s="378" t="s">
        <v>507</v>
      </c>
      <c r="C22" s="378" t="s">
        <v>573</v>
      </c>
      <c r="D22" s="382" t="s">
        <v>37</v>
      </c>
      <c r="E22" s="383" t="s">
        <v>177</v>
      </c>
      <c r="F22" s="383">
        <v>4.1100000000000003</v>
      </c>
      <c r="G22" s="384">
        <v>4.59</v>
      </c>
      <c r="H22" s="334">
        <f t="shared" ref="H22:H86" si="1">G22*I22*J22</f>
        <v>162458.46</v>
      </c>
      <c r="I22" s="319">
        <v>2</v>
      </c>
      <c r="J22" s="381">
        <v>17697</v>
      </c>
      <c r="K22" s="385">
        <f t="shared" ref="K22:K86" si="2">SUM(L22+N22+P22)/16</f>
        <v>0.375</v>
      </c>
      <c r="L22" s="339">
        <v>3</v>
      </c>
      <c r="M22" s="339">
        <f t="shared" ref="M22:M86" si="3">G22*I22*J22/16*L22</f>
        <v>30460.96125</v>
      </c>
      <c r="N22" s="339">
        <v>3</v>
      </c>
      <c r="O22" s="339">
        <f t="shared" ref="O22:O86" si="4">G22*I22*J22/16*N22</f>
        <v>30460.96125</v>
      </c>
      <c r="P22" s="339">
        <v>0</v>
      </c>
      <c r="Q22" s="334">
        <f t="shared" ref="Q22:Q86" si="5">G22*I22*J22/16*P22</f>
        <v>0</v>
      </c>
      <c r="R22" s="334">
        <f>(M22+O22+Q22)*25%</f>
        <v>15230.480625</v>
      </c>
      <c r="S22" s="334">
        <f>M22+O22+Q22+R22</f>
        <v>76152.403124999997</v>
      </c>
      <c r="T22" s="334">
        <f>S22*0.1</f>
        <v>7615.2403125000001</v>
      </c>
      <c r="U22" s="319"/>
      <c r="V22" s="386">
        <f>17697*50%*U22</f>
        <v>0</v>
      </c>
      <c r="W22" s="319"/>
      <c r="X22" s="335">
        <f>17697*60%*W22</f>
        <v>0</v>
      </c>
      <c r="Y22" s="381"/>
      <c r="Z22" s="334">
        <f>17697*40%/16*Y22</f>
        <v>0</v>
      </c>
      <c r="AA22" s="319"/>
      <c r="AB22" s="334">
        <f>17697*50%/16*AA22</f>
        <v>0</v>
      </c>
      <c r="AC22" s="387"/>
      <c r="AD22" s="319"/>
      <c r="AE22" s="334">
        <f>S22*0.3</f>
        <v>22845.720937499998</v>
      </c>
      <c r="AF22" s="319"/>
      <c r="AG22" s="335">
        <f>17697*40%/16*AF22</f>
        <v>0</v>
      </c>
      <c r="AH22" s="381"/>
      <c r="AI22" s="334">
        <f>S22*30%</f>
        <v>22845.720937499998</v>
      </c>
      <c r="AJ22" s="334"/>
      <c r="AK22" s="334"/>
      <c r="AL22" s="319"/>
      <c r="AM22" s="334">
        <f>S22+T22+V22+X22+Z22+AB22+AC22+AD22+AE22+AG22+AH22+AI22+AJ22+AK22+AL22</f>
        <v>129459.08531249998</v>
      </c>
      <c r="AN22" s="334">
        <f>AM22*12</f>
        <v>1553509.0237499997</v>
      </c>
      <c r="AO22" s="221"/>
    </row>
    <row r="23" spans="1:41" s="2" customFormat="1" ht="18.75" customHeight="1">
      <c r="A23" s="381">
        <v>2</v>
      </c>
      <c r="B23" s="378" t="s">
        <v>511</v>
      </c>
      <c r="C23" s="378" t="s">
        <v>574</v>
      </c>
      <c r="D23" s="382" t="s">
        <v>37</v>
      </c>
      <c r="E23" s="383" t="s">
        <v>178</v>
      </c>
      <c r="F23" s="383">
        <v>20.11</v>
      </c>
      <c r="G23" s="384">
        <v>5.12</v>
      </c>
      <c r="H23" s="334">
        <f t="shared" si="1"/>
        <v>181217.28</v>
      </c>
      <c r="I23" s="319">
        <v>2</v>
      </c>
      <c r="J23" s="381">
        <v>17697</v>
      </c>
      <c r="K23" s="385">
        <f t="shared" si="2"/>
        <v>1.375</v>
      </c>
      <c r="L23" s="339">
        <v>3</v>
      </c>
      <c r="M23" s="339">
        <f t="shared" si="3"/>
        <v>33978.239999999998</v>
      </c>
      <c r="N23" s="339">
        <v>19</v>
      </c>
      <c r="O23" s="339">
        <f t="shared" si="4"/>
        <v>215195.51999999999</v>
      </c>
      <c r="P23" s="339">
        <v>0</v>
      </c>
      <c r="Q23" s="334">
        <f t="shared" si="5"/>
        <v>0</v>
      </c>
      <c r="R23" s="334">
        <f t="shared" ref="R23:R88" si="6">(M23+O23+Q23)*25%</f>
        <v>62293.439999999995</v>
      </c>
      <c r="S23" s="334">
        <f t="shared" ref="S23:S88" si="7">M23+O23+Q23+R23</f>
        <v>311467.19999999995</v>
      </c>
      <c r="T23" s="334">
        <f t="shared" ref="T23:T88" si="8">S23*0.1</f>
        <v>31146.719999999998</v>
      </c>
      <c r="U23" s="319"/>
      <c r="V23" s="386">
        <f t="shared" ref="V23:V88" si="9">17697*50%*U23</f>
        <v>0</v>
      </c>
      <c r="W23" s="319">
        <v>1</v>
      </c>
      <c r="X23" s="335">
        <f t="shared" ref="X23:X88" si="10">17697*60%*W23</f>
        <v>10618.199999999999</v>
      </c>
      <c r="Y23" s="381"/>
      <c r="Z23" s="334">
        <f t="shared" ref="Z23:Z88" si="11">17697*40%/16*Y23</f>
        <v>0</v>
      </c>
      <c r="AA23" s="319">
        <v>16.5</v>
      </c>
      <c r="AB23" s="334">
        <f t="shared" ref="AB23:AB88" si="12">17697*50%/16*AA23</f>
        <v>9125.015625</v>
      </c>
      <c r="AC23" s="387"/>
      <c r="AD23" s="319"/>
      <c r="AE23" s="334">
        <f t="shared" ref="AE23:AE88" si="13">S23*0.3</f>
        <v>93440.159999999989</v>
      </c>
      <c r="AF23" s="319"/>
      <c r="AG23" s="335">
        <f t="shared" ref="AG23:AG88" si="14">17697*40%/16*AF23</f>
        <v>0</v>
      </c>
      <c r="AH23" s="381"/>
      <c r="AI23" s="334"/>
      <c r="AJ23" s="334">
        <f t="shared" ref="AJ23:AJ87" si="15">S23*35%</f>
        <v>109013.51999999997</v>
      </c>
      <c r="AK23" s="334"/>
      <c r="AL23" s="319"/>
      <c r="AM23" s="334">
        <f t="shared" ref="AM23:AM88" si="16">S23+T23+V23+X23+Z23+AB23+AC23+AD23+AE23+AG23+AH23+AI23+AJ23+AK23+AL23</f>
        <v>564810.81562499993</v>
      </c>
      <c r="AN23" s="334">
        <f t="shared" ref="AN23:AN87" si="17">AM23*12</f>
        <v>6777729.7874999996</v>
      </c>
      <c r="AO23" s="221"/>
    </row>
    <row r="24" spans="1:41" s="2" customFormat="1" ht="20.25" customHeight="1">
      <c r="A24" s="381">
        <v>3</v>
      </c>
      <c r="B24" s="378" t="s">
        <v>512</v>
      </c>
      <c r="C24" s="378" t="s">
        <v>573</v>
      </c>
      <c r="D24" s="382" t="s">
        <v>37</v>
      </c>
      <c r="E24" s="383" t="s">
        <v>178</v>
      </c>
      <c r="F24" s="383">
        <v>17.899999999999999</v>
      </c>
      <c r="G24" s="384">
        <v>5.03</v>
      </c>
      <c r="H24" s="334">
        <f t="shared" si="1"/>
        <v>178031.82</v>
      </c>
      <c r="I24" s="319">
        <v>2</v>
      </c>
      <c r="J24" s="381">
        <v>17697</v>
      </c>
      <c r="K24" s="385">
        <f t="shared" si="2"/>
        <v>1</v>
      </c>
      <c r="L24" s="339">
        <v>0</v>
      </c>
      <c r="M24" s="339">
        <f t="shared" si="3"/>
        <v>0</v>
      </c>
      <c r="N24" s="339">
        <v>6</v>
      </c>
      <c r="O24" s="339">
        <f t="shared" si="4"/>
        <v>66761.932499999995</v>
      </c>
      <c r="P24" s="339">
        <v>10</v>
      </c>
      <c r="Q24" s="334">
        <f t="shared" si="5"/>
        <v>111269.88750000001</v>
      </c>
      <c r="R24" s="334">
        <f t="shared" si="6"/>
        <v>44507.955000000002</v>
      </c>
      <c r="S24" s="334">
        <f t="shared" si="7"/>
        <v>222539.77500000002</v>
      </c>
      <c r="T24" s="334">
        <f t="shared" si="8"/>
        <v>22253.977500000005</v>
      </c>
      <c r="U24" s="319"/>
      <c r="V24" s="386">
        <f t="shared" si="9"/>
        <v>0</v>
      </c>
      <c r="W24" s="319"/>
      <c r="X24" s="335">
        <f t="shared" si="10"/>
        <v>0</v>
      </c>
      <c r="Y24" s="381"/>
      <c r="Z24" s="334">
        <f t="shared" si="11"/>
        <v>0</v>
      </c>
      <c r="AA24" s="319"/>
      <c r="AB24" s="334">
        <f t="shared" si="12"/>
        <v>0</v>
      </c>
      <c r="AC24" s="387"/>
      <c r="AD24" s="319"/>
      <c r="AE24" s="334">
        <f t="shared" si="13"/>
        <v>66761.93250000001</v>
      </c>
      <c r="AF24" s="319"/>
      <c r="AG24" s="335">
        <f t="shared" si="14"/>
        <v>0</v>
      </c>
      <c r="AH24" s="381"/>
      <c r="AI24" s="334"/>
      <c r="AJ24" s="334">
        <f t="shared" si="15"/>
        <v>77888.921249999999</v>
      </c>
      <c r="AK24" s="334"/>
      <c r="AL24" s="319"/>
      <c r="AM24" s="334">
        <f t="shared" si="16"/>
        <v>389444.60625000007</v>
      </c>
      <c r="AN24" s="334">
        <f t="shared" si="17"/>
        <v>4673335.2750000004</v>
      </c>
      <c r="AO24" s="221"/>
    </row>
    <row r="25" spans="1:41" s="2" customFormat="1" ht="19.5" customHeight="1">
      <c r="A25" s="381">
        <v>4</v>
      </c>
      <c r="B25" s="378" t="s">
        <v>500</v>
      </c>
      <c r="C25" s="378" t="s">
        <v>530</v>
      </c>
      <c r="D25" s="382" t="s">
        <v>37</v>
      </c>
      <c r="E25" s="383" t="s">
        <v>174</v>
      </c>
      <c r="F25" s="383">
        <v>15</v>
      </c>
      <c r="G25" s="384">
        <v>5.16</v>
      </c>
      <c r="H25" s="334">
        <f t="shared" si="1"/>
        <v>182633.04</v>
      </c>
      <c r="I25" s="319">
        <v>2</v>
      </c>
      <c r="J25" s="381">
        <v>17697</v>
      </c>
      <c r="K25" s="385">
        <f t="shared" si="2"/>
        <v>0.5</v>
      </c>
      <c r="L25" s="339">
        <v>6</v>
      </c>
      <c r="M25" s="339">
        <f t="shared" si="3"/>
        <v>68487.39</v>
      </c>
      <c r="N25" s="339">
        <v>0</v>
      </c>
      <c r="O25" s="339">
        <f t="shared" si="4"/>
        <v>0</v>
      </c>
      <c r="P25" s="339">
        <v>2</v>
      </c>
      <c r="Q25" s="334">
        <f t="shared" si="5"/>
        <v>22829.13</v>
      </c>
      <c r="R25" s="334">
        <f t="shared" si="6"/>
        <v>22829.13</v>
      </c>
      <c r="S25" s="334">
        <f t="shared" si="7"/>
        <v>114145.65000000001</v>
      </c>
      <c r="T25" s="334">
        <f t="shared" si="8"/>
        <v>11414.565000000002</v>
      </c>
      <c r="U25" s="319"/>
      <c r="V25" s="386">
        <f t="shared" si="9"/>
        <v>0</v>
      </c>
      <c r="W25" s="319"/>
      <c r="X25" s="335">
        <f t="shared" si="10"/>
        <v>0</v>
      </c>
      <c r="Y25" s="381"/>
      <c r="Z25" s="334">
        <f t="shared" si="11"/>
        <v>0</v>
      </c>
      <c r="AA25" s="319"/>
      <c r="AB25" s="334">
        <f t="shared" si="12"/>
        <v>0</v>
      </c>
      <c r="AC25" s="387"/>
      <c r="AD25" s="319"/>
      <c r="AE25" s="334">
        <f t="shared" si="13"/>
        <v>34243.695</v>
      </c>
      <c r="AF25" s="319"/>
      <c r="AG25" s="335">
        <f t="shared" si="14"/>
        <v>0</v>
      </c>
      <c r="AH25" s="381"/>
      <c r="AI25" s="334"/>
      <c r="AJ25" s="334"/>
      <c r="AK25" s="334">
        <f t="shared" ref="AK25:AK85" si="18">S25*40%</f>
        <v>45658.260000000009</v>
      </c>
      <c r="AL25" s="319"/>
      <c r="AM25" s="334">
        <f t="shared" si="16"/>
        <v>205462.17</v>
      </c>
      <c r="AN25" s="334">
        <f t="shared" si="17"/>
        <v>2465546.04</v>
      </c>
      <c r="AO25" s="221"/>
    </row>
    <row r="26" spans="1:41" s="2" customFormat="1" ht="19.5" customHeight="1">
      <c r="A26" s="381">
        <v>5</v>
      </c>
      <c r="B26" s="378" t="s">
        <v>513</v>
      </c>
      <c r="C26" s="378" t="s">
        <v>480</v>
      </c>
      <c r="D26" s="382" t="s">
        <v>37</v>
      </c>
      <c r="E26" s="383" t="s">
        <v>178</v>
      </c>
      <c r="F26" s="384">
        <v>14.1</v>
      </c>
      <c r="G26" s="384">
        <v>4.95</v>
      </c>
      <c r="H26" s="334">
        <f t="shared" si="1"/>
        <v>175200.30000000002</v>
      </c>
      <c r="I26" s="319">
        <v>2</v>
      </c>
      <c r="J26" s="381">
        <v>17697</v>
      </c>
      <c r="K26" s="385">
        <f t="shared" si="2"/>
        <v>1.0625</v>
      </c>
      <c r="L26" s="339">
        <v>2</v>
      </c>
      <c r="M26" s="339">
        <f t="shared" si="3"/>
        <v>21900.037500000002</v>
      </c>
      <c r="N26" s="339">
        <v>12</v>
      </c>
      <c r="O26" s="339">
        <f t="shared" si="4"/>
        <v>131400.22500000001</v>
      </c>
      <c r="P26" s="339">
        <v>3</v>
      </c>
      <c r="Q26" s="334">
        <f t="shared" si="5"/>
        <v>32850.056250000001</v>
      </c>
      <c r="R26" s="334">
        <f t="shared" si="6"/>
        <v>46537.579687500001</v>
      </c>
      <c r="S26" s="334">
        <f t="shared" si="7"/>
        <v>232687.8984375</v>
      </c>
      <c r="T26" s="334">
        <f t="shared" si="8"/>
        <v>23268.789843750001</v>
      </c>
      <c r="U26" s="319"/>
      <c r="V26" s="386">
        <f t="shared" si="9"/>
        <v>0</v>
      </c>
      <c r="W26" s="319">
        <v>0.5</v>
      </c>
      <c r="X26" s="335">
        <f t="shared" si="10"/>
        <v>5309.0999999999995</v>
      </c>
      <c r="Y26" s="381">
        <v>11.5</v>
      </c>
      <c r="Z26" s="334">
        <f t="shared" si="11"/>
        <v>5087.8874999999998</v>
      </c>
      <c r="AA26" s="319"/>
      <c r="AB26" s="334">
        <f t="shared" si="12"/>
        <v>0</v>
      </c>
      <c r="AC26" s="387"/>
      <c r="AD26" s="319"/>
      <c r="AE26" s="334">
        <f t="shared" si="13"/>
        <v>69806.369531249991</v>
      </c>
      <c r="AF26" s="319"/>
      <c r="AG26" s="335">
        <f t="shared" si="14"/>
        <v>0</v>
      </c>
      <c r="AH26" s="381"/>
      <c r="AI26" s="334"/>
      <c r="AJ26" s="334">
        <f t="shared" si="15"/>
        <v>81440.764453124997</v>
      </c>
      <c r="AK26" s="334"/>
      <c r="AL26" s="319"/>
      <c r="AM26" s="334">
        <f t="shared" si="16"/>
        <v>417600.80976562499</v>
      </c>
      <c r="AN26" s="334">
        <f t="shared" si="17"/>
        <v>5011209.7171874996</v>
      </c>
      <c r="AO26" s="221"/>
    </row>
    <row r="27" spans="1:41" s="2" customFormat="1" ht="18" customHeight="1">
      <c r="A27" s="381">
        <v>6</v>
      </c>
      <c r="B27" s="378" t="s">
        <v>514</v>
      </c>
      <c r="C27" s="378" t="s">
        <v>573</v>
      </c>
      <c r="D27" s="382" t="s">
        <v>37</v>
      </c>
      <c r="E27" s="383" t="s">
        <v>174</v>
      </c>
      <c r="F27" s="383">
        <v>23</v>
      </c>
      <c r="G27" s="384">
        <v>5.32</v>
      </c>
      <c r="H27" s="334">
        <f t="shared" si="1"/>
        <v>188296.08000000002</v>
      </c>
      <c r="I27" s="319">
        <v>2</v>
      </c>
      <c r="J27" s="381">
        <v>17697</v>
      </c>
      <c r="K27" s="385">
        <f t="shared" si="2"/>
        <v>1</v>
      </c>
      <c r="L27" s="339">
        <v>6</v>
      </c>
      <c r="M27" s="339">
        <f t="shared" si="3"/>
        <v>70611.03</v>
      </c>
      <c r="N27" s="339">
        <v>9</v>
      </c>
      <c r="O27" s="339">
        <f t="shared" si="4"/>
        <v>105916.54500000001</v>
      </c>
      <c r="P27" s="339">
        <v>1</v>
      </c>
      <c r="Q27" s="334">
        <f t="shared" si="5"/>
        <v>11768.505000000001</v>
      </c>
      <c r="R27" s="334">
        <f t="shared" si="6"/>
        <v>47074.020000000004</v>
      </c>
      <c r="S27" s="334">
        <f t="shared" si="7"/>
        <v>235370.10000000003</v>
      </c>
      <c r="T27" s="334">
        <f t="shared" si="8"/>
        <v>23537.010000000006</v>
      </c>
      <c r="U27" s="319"/>
      <c r="V27" s="386">
        <f t="shared" si="9"/>
        <v>0</v>
      </c>
      <c r="W27" s="319"/>
      <c r="X27" s="335">
        <f t="shared" si="10"/>
        <v>0</v>
      </c>
      <c r="Y27" s="381"/>
      <c r="Z27" s="334">
        <f t="shared" si="11"/>
        <v>0</v>
      </c>
      <c r="AA27" s="319"/>
      <c r="AB27" s="334">
        <f t="shared" si="12"/>
        <v>0</v>
      </c>
      <c r="AC27" s="387"/>
      <c r="AD27" s="319"/>
      <c r="AE27" s="334">
        <f t="shared" si="13"/>
        <v>70611.030000000013</v>
      </c>
      <c r="AF27" s="319"/>
      <c r="AG27" s="335">
        <f t="shared" si="14"/>
        <v>0</v>
      </c>
      <c r="AH27" s="381"/>
      <c r="AI27" s="334"/>
      <c r="AJ27" s="334"/>
      <c r="AK27" s="334">
        <f t="shared" si="18"/>
        <v>94148.040000000023</v>
      </c>
      <c r="AL27" s="319"/>
      <c r="AM27" s="334">
        <f t="shared" si="16"/>
        <v>423666.18000000011</v>
      </c>
      <c r="AN27" s="334">
        <f t="shared" si="17"/>
        <v>5083994.1600000011</v>
      </c>
      <c r="AO27" s="221"/>
    </row>
    <row r="28" spans="1:41" s="2" customFormat="1" ht="19.5" customHeight="1">
      <c r="A28" s="381">
        <v>7</v>
      </c>
      <c r="B28" s="378" t="s">
        <v>515</v>
      </c>
      <c r="C28" s="378" t="s">
        <v>484</v>
      </c>
      <c r="D28" s="382" t="s">
        <v>37</v>
      </c>
      <c r="E28" s="383" t="s">
        <v>174</v>
      </c>
      <c r="F28" s="383">
        <v>33.5</v>
      </c>
      <c r="G28" s="384">
        <v>5.41</v>
      </c>
      <c r="H28" s="334">
        <f t="shared" si="1"/>
        <v>191481.54</v>
      </c>
      <c r="I28" s="319">
        <v>2</v>
      </c>
      <c r="J28" s="381">
        <v>17697</v>
      </c>
      <c r="K28" s="385">
        <f t="shared" si="2"/>
        <v>1.4375</v>
      </c>
      <c r="L28" s="339">
        <v>2</v>
      </c>
      <c r="M28" s="339">
        <f t="shared" si="3"/>
        <v>23935.192500000001</v>
      </c>
      <c r="N28" s="339">
        <v>19</v>
      </c>
      <c r="O28" s="339">
        <f t="shared" si="4"/>
        <v>227384.32875000002</v>
      </c>
      <c r="P28" s="339">
        <v>2</v>
      </c>
      <c r="Q28" s="334">
        <f t="shared" si="5"/>
        <v>23935.192500000001</v>
      </c>
      <c r="R28" s="334">
        <f t="shared" si="6"/>
        <v>68813.678437499999</v>
      </c>
      <c r="S28" s="334">
        <f t="shared" si="7"/>
        <v>344068.39218750002</v>
      </c>
      <c r="T28" s="334">
        <f t="shared" si="8"/>
        <v>34406.839218750007</v>
      </c>
      <c r="U28" s="319"/>
      <c r="V28" s="386">
        <f t="shared" si="9"/>
        <v>0</v>
      </c>
      <c r="W28" s="319"/>
      <c r="X28" s="335">
        <f t="shared" si="10"/>
        <v>0</v>
      </c>
      <c r="Y28" s="381"/>
      <c r="Z28" s="334">
        <f t="shared" si="11"/>
        <v>0</v>
      </c>
      <c r="AA28" s="319">
        <v>12.5</v>
      </c>
      <c r="AB28" s="334">
        <f t="shared" si="12"/>
        <v>6912.890625</v>
      </c>
      <c r="AC28" s="387"/>
      <c r="AD28" s="319"/>
      <c r="AE28" s="334">
        <f t="shared" si="13"/>
        <v>103220.51765625</v>
      </c>
      <c r="AF28" s="319"/>
      <c r="AG28" s="335">
        <f t="shared" si="14"/>
        <v>0</v>
      </c>
      <c r="AH28" s="381"/>
      <c r="AI28" s="334"/>
      <c r="AJ28" s="334"/>
      <c r="AK28" s="334">
        <f t="shared" si="18"/>
        <v>137627.35687500003</v>
      </c>
      <c r="AL28" s="319"/>
      <c r="AM28" s="334">
        <f t="shared" si="16"/>
        <v>626235.99656250002</v>
      </c>
      <c r="AN28" s="334">
        <f t="shared" si="17"/>
        <v>7514831.9587500002</v>
      </c>
      <c r="AO28" s="221"/>
    </row>
    <row r="29" spans="1:41" s="2" customFormat="1" ht="19.5" customHeight="1">
      <c r="A29" s="381">
        <v>8</v>
      </c>
      <c r="B29" s="378" t="s">
        <v>517</v>
      </c>
      <c r="C29" s="378" t="s">
        <v>481</v>
      </c>
      <c r="D29" s="382" t="s">
        <v>37</v>
      </c>
      <c r="E29" s="383" t="s">
        <v>178</v>
      </c>
      <c r="F29" s="383">
        <v>20</v>
      </c>
      <c r="G29" s="384">
        <v>5.12</v>
      </c>
      <c r="H29" s="334">
        <f t="shared" si="1"/>
        <v>181217.28</v>
      </c>
      <c r="I29" s="319">
        <v>2</v>
      </c>
      <c r="J29" s="381">
        <v>17697</v>
      </c>
      <c r="K29" s="385">
        <f t="shared" si="2"/>
        <v>1.0625</v>
      </c>
      <c r="L29" s="339">
        <v>17</v>
      </c>
      <c r="M29" s="339">
        <f t="shared" si="3"/>
        <v>192543.35999999999</v>
      </c>
      <c r="N29" s="339">
        <v>0</v>
      </c>
      <c r="O29" s="339">
        <f t="shared" si="4"/>
        <v>0</v>
      </c>
      <c r="P29" s="339">
        <v>0</v>
      </c>
      <c r="Q29" s="334">
        <f t="shared" si="5"/>
        <v>0</v>
      </c>
      <c r="R29" s="334">
        <f t="shared" si="6"/>
        <v>48135.839999999997</v>
      </c>
      <c r="S29" s="334">
        <f t="shared" si="7"/>
        <v>240679.19999999998</v>
      </c>
      <c r="T29" s="334">
        <f t="shared" si="8"/>
        <v>24067.919999999998</v>
      </c>
      <c r="U29" s="319">
        <v>1</v>
      </c>
      <c r="V29" s="386">
        <f t="shared" si="9"/>
        <v>8848.5</v>
      </c>
      <c r="W29" s="319"/>
      <c r="X29" s="335">
        <f t="shared" si="10"/>
        <v>0</v>
      </c>
      <c r="Y29" s="381">
        <v>8</v>
      </c>
      <c r="Z29" s="334">
        <f t="shared" si="11"/>
        <v>3539.4</v>
      </c>
      <c r="AA29" s="319"/>
      <c r="AB29" s="334">
        <f t="shared" si="12"/>
        <v>0</v>
      </c>
      <c r="AC29" s="387"/>
      <c r="AD29" s="319"/>
      <c r="AE29" s="334">
        <f t="shared" si="13"/>
        <v>72203.759999999995</v>
      </c>
      <c r="AF29" s="319"/>
      <c r="AG29" s="335">
        <f t="shared" si="14"/>
        <v>0</v>
      </c>
      <c r="AH29" s="381"/>
      <c r="AI29" s="334"/>
      <c r="AJ29" s="334">
        <f t="shared" si="15"/>
        <v>84237.719999999987</v>
      </c>
      <c r="AK29" s="334"/>
      <c r="AL29" s="319"/>
      <c r="AM29" s="334">
        <f t="shared" si="16"/>
        <v>433576.5</v>
      </c>
      <c r="AN29" s="334">
        <f t="shared" si="17"/>
        <v>5202918</v>
      </c>
      <c r="AO29" s="221"/>
    </row>
    <row r="30" spans="1:41" s="2" customFormat="1" ht="19.5" customHeight="1">
      <c r="A30" s="381">
        <v>9</v>
      </c>
      <c r="B30" s="378" t="s">
        <v>518</v>
      </c>
      <c r="C30" s="378" t="s">
        <v>481</v>
      </c>
      <c r="D30" s="382" t="s">
        <v>37</v>
      </c>
      <c r="E30" s="383" t="s">
        <v>178</v>
      </c>
      <c r="F30" s="383">
        <v>7.4</v>
      </c>
      <c r="G30" s="384">
        <v>4.79</v>
      </c>
      <c r="H30" s="334">
        <f t="shared" si="1"/>
        <v>169537.26</v>
      </c>
      <c r="I30" s="319">
        <v>2</v>
      </c>
      <c r="J30" s="381">
        <v>17697</v>
      </c>
      <c r="K30" s="385">
        <f t="shared" si="2"/>
        <v>1.0625</v>
      </c>
      <c r="L30" s="339">
        <v>17</v>
      </c>
      <c r="M30" s="339">
        <f t="shared" si="3"/>
        <v>180133.33875</v>
      </c>
      <c r="N30" s="339">
        <v>0</v>
      </c>
      <c r="O30" s="339">
        <f t="shared" si="4"/>
        <v>0</v>
      </c>
      <c r="P30" s="339">
        <v>0</v>
      </c>
      <c r="Q30" s="334">
        <f t="shared" si="5"/>
        <v>0</v>
      </c>
      <c r="R30" s="334">
        <f t="shared" si="6"/>
        <v>45033.334687499999</v>
      </c>
      <c r="S30" s="334">
        <f t="shared" si="7"/>
        <v>225166.67343749999</v>
      </c>
      <c r="T30" s="334">
        <f t="shared" si="8"/>
        <v>22516.667343749999</v>
      </c>
      <c r="U30" s="319">
        <v>1</v>
      </c>
      <c r="V30" s="386">
        <f t="shared" si="9"/>
        <v>8848.5</v>
      </c>
      <c r="W30" s="319"/>
      <c r="X30" s="335">
        <f t="shared" si="10"/>
        <v>0</v>
      </c>
      <c r="Y30" s="381">
        <v>10</v>
      </c>
      <c r="Z30" s="334">
        <f t="shared" si="11"/>
        <v>4424.25</v>
      </c>
      <c r="AA30" s="319"/>
      <c r="AB30" s="334">
        <f t="shared" si="12"/>
        <v>0</v>
      </c>
      <c r="AC30" s="387"/>
      <c r="AD30" s="319"/>
      <c r="AE30" s="334">
        <f t="shared" si="13"/>
        <v>67550.002031249998</v>
      </c>
      <c r="AF30" s="319"/>
      <c r="AG30" s="335">
        <f t="shared" si="14"/>
        <v>0</v>
      </c>
      <c r="AH30" s="381"/>
      <c r="AI30" s="334"/>
      <c r="AJ30" s="334">
        <f t="shared" si="15"/>
        <v>78808.335703124991</v>
      </c>
      <c r="AK30" s="334"/>
      <c r="AL30" s="319"/>
      <c r="AM30" s="334">
        <f t="shared" si="16"/>
        <v>407314.42851562495</v>
      </c>
      <c r="AN30" s="334">
        <f t="shared" si="17"/>
        <v>4887773.1421874994</v>
      </c>
      <c r="AO30" s="221"/>
    </row>
    <row r="31" spans="1:41" s="2" customFormat="1" ht="19.5" customHeight="1">
      <c r="A31" s="381">
        <v>10</v>
      </c>
      <c r="B31" s="378" t="s">
        <v>630</v>
      </c>
      <c r="C31" s="378" t="s">
        <v>484</v>
      </c>
      <c r="D31" s="382" t="s">
        <v>37</v>
      </c>
      <c r="E31" s="383" t="s">
        <v>177</v>
      </c>
      <c r="F31" s="383">
        <v>5.5</v>
      </c>
      <c r="G31" s="384">
        <v>4.66</v>
      </c>
      <c r="H31" s="334">
        <f t="shared" si="1"/>
        <v>164936.04</v>
      </c>
      <c r="I31" s="319">
        <v>2</v>
      </c>
      <c r="J31" s="381">
        <v>17697</v>
      </c>
      <c r="K31" s="385">
        <f t="shared" si="2"/>
        <v>1.125</v>
      </c>
      <c r="L31" s="339">
        <v>4</v>
      </c>
      <c r="M31" s="339">
        <f t="shared" si="3"/>
        <v>41234.01</v>
      </c>
      <c r="N31" s="339">
        <v>14</v>
      </c>
      <c r="O31" s="339">
        <f t="shared" si="4"/>
        <v>144319.035</v>
      </c>
      <c r="P31" s="339">
        <v>0</v>
      </c>
      <c r="Q31" s="334">
        <f t="shared" si="5"/>
        <v>0</v>
      </c>
      <c r="R31" s="334">
        <f t="shared" si="6"/>
        <v>46388.261250000003</v>
      </c>
      <c r="S31" s="334">
        <f t="shared" si="7"/>
        <v>231941.30625000002</v>
      </c>
      <c r="T31" s="334">
        <f t="shared" si="8"/>
        <v>23194.130625000005</v>
      </c>
      <c r="U31" s="319"/>
      <c r="V31" s="386"/>
      <c r="W31" s="319"/>
      <c r="X31" s="335"/>
      <c r="Y31" s="381"/>
      <c r="Z31" s="334"/>
      <c r="AA31" s="319">
        <v>8</v>
      </c>
      <c r="AB31" s="334">
        <f t="shared" si="12"/>
        <v>4424.25</v>
      </c>
      <c r="AC31" s="387"/>
      <c r="AD31" s="319"/>
      <c r="AE31" s="334">
        <f t="shared" si="13"/>
        <v>69582.391875000001</v>
      </c>
      <c r="AF31" s="319"/>
      <c r="AG31" s="335">
        <f t="shared" si="14"/>
        <v>0</v>
      </c>
      <c r="AH31" s="381"/>
      <c r="AI31" s="334">
        <f>S31*30%</f>
        <v>69582.391875000001</v>
      </c>
      <c r="AJ31" s="334"/>
      <c r="AK31" s="334"/>
      <c r="AL31" s="319"/>
      <c r="AM31" s="334">
        <f t="shared" si="16"/>
        <v>398724.47062499996</v>
      </c>
      <c r="AN31" s="334">
        <f t="shared" si="17"/>
        <v>4784693.647499999</v>
      </c>
      <c r="AO31" s="221"/>
    </row>
    <row r="32" spans="1:41" s="2" customFormat="1" ht="19.5" customHeight="1">
      <c r="A32" s="381">
        <v>11</v>
      </c>
      <c r="B32" s="378" t="s">
        <v>626</v>
      </c>
      <c r="C32" s="378" t="s">
        <v>519</v>
      </c>
      <c r="D32" s="382" t="s">
        <v>37</v>
      </c>
      <c r="E32" s="383" t="s">
        <v>175</v>
      </c>
      <c r="F32" s="383">
        <v>0.4</v>
      </c>
      <c r="G32" s="388">
        <v>4.0999999999999996</v>
      </c>
      <c r="H32" s="334">
        <f t="shared" si="1"/>
        <v>145115.4</v>
      </c>
      <c r="I32" s="319">
        <v>2</v>
      </c>
      <c r="J32" s="381">
        <v>17697</v>
      </c>
      <c r="K32" s="385">
        <f t="shared" si="2"/>
        <v>1</v>
      </c>
      <c r="L32" s="339">
        <v>9</v>
      </c>
      <c r="M32" s="339">
        <f t="shared" si="3"/>
        <v>81627.412499999991</v>
      </c>
      <c r="N32" s="339">
        <v>7</v>
      </c>
      <c r="O32" s="339">
        <f t="shared" si="4"/>
        <v>63487.987499999996</v>
      </c>
      <c r="P32" s="339">
        <v>0</v>
      </c>
      <c r="Q32" s="334">
        <f t="shared" si="5"/>
        <v>0</v>
      </c>
      <c r="R32" s="334">
        <f t="shared" si="6"/>
        <v>36278.85</v>
      </c>
      <c r="S32" s="334">
        <f t="shared" si="7"/>
        <v>181394.25</v>
      </c>
      <c r="T32" s="334">
        <f t="shared" si="8"/>
        <v>18139.424999999999</v>
      </c>
      <c r="U32" s="319"/>
      <c r="V32" s="386">
        <f t="shared" si="9"/>
        <v>0</v>
      </c>
      <c r="W32" s="319"/>
      <c r="X32" s="335">
        <f t="shared" si="10"/>
        <v>0</v>
      </c>
      <c r="Y32" s="381"/>
      <c r="Z32" s="334">
        <f t="shared" si="11"/>
        <v>0</v>
      </c>
      <c r="AA32" s="319"/>
      <c r="AB32" s="334">
        <f t="shared" si="12"/>
        <v>0</v>
      </c>
      <c r="AC32" s="387"/>
      <c r="AD32" s="319"/>
      <c r="AE32" s="334">
        <f t="shared" si="13"/>
        <v>54418.275000000001</v>
      </c>
      <c r="AF32" s="319"/>
      <c r="AG32" s="335">
        <f t="shared" si="14"/>
        <v>0</v>
      </c>
      <c r="AH32" s="381"/>
      <c r="AI32" s="334"/>
      <c r="AJ32" s="334"/>
      <c r="AK32" s="334"/>
      <c r="AL32" s="319"/>
      <c r="AM32" s="334">
        <f t="shared" si="16"/>
        <v>253951.94999999998</v>
      </c>
      <c r="AN32" s="334">
        <f t="shared" si="17"/>
        <v>3047423.4</v>
      </c>
      <c r="AO32" s="221"/>
    </row>
    <row r="33" spans="1:41" s="2" customFormat="1" ht="19.5" customHeight="1">
      <c r="A33" s="381">
        <v>12</v>
      </c>
      <c r="B33" s="378" t="s">
        <v>520</v>
      </c>
      <c r="C33" s="378" t="s">
        <v>483</v>
      </c>
      <c r="D33" s="382" t="s">
        <v>37</v>
      </c>
      <c r="E33" s="383" t="s">
        <v>177</v>
      </c>
      <c r="F33" s="383">
        <v>3.11</v>
      </c>
      <c r="G33" s="384">
        <v>4.59</v>
      </c>
      <c r="H33" s="334">
        <f t="shared" si="1"/>
        <v>162458.46</v>
      </c>
      <c r="I33" s="319">
        <v>2</v>
      </c>
      <c r="J33" s="381">
        <v>17697</v>
      </c>
      <c r="K33" s="385">
        <f t="shared" si="2"/>
        <v>1.125</v>
      </c>
      <c r="L33" s="339">
        <v>0</v>
      </c>
      <c r="M33" s="339">
        <f t="shared" si="3"/>
        <v>0</v>
      </c>
      <c r="N33" s="339">
        <v>15</v>
      </c>
      <c r="O33" s="339">
        <f t="shared" si="4"/>
        <v>152304.80624999999</v>
      </c>
      <c r="P33" s="339">
        <v>3</v>
      </c>
      <c r="Q33" s="334">
        <f t="shared" si="5"/>
        <v>30460.96125</v>
      </c>
      <c r="R33" s="334">
        <f t="shared" si="6"/>
        <v>45691.441874999997</v>
      </c>
      <c r="S33" s="334">
        <f t="shared" si="7"/>
        <v>228457.20937499998</v>
      </c>
      <c r="T33" s="334">
        <f t="shared" si="8"/>
        <v>22845.720937499998</v>
      </c>
      <c r="U33" s="319"/>
      <c r="V33" s="386">
        <f t="shared" si="9"/>
        <v>0</v>
      </c>
      <c r="W33" s="319"/>
      <c r="X33" s="335">
        <f t="shared" si="10"/>
        <v>0</v>
      </c>
      <c r="Y33" s="381"/>
      <c r="Z33" s="334">
        <f t="shared" si="11"/>
        <v>0</v>
      </c>
      <c r="AA33" s="319"/>
      <c r="AB33" s="334">
        <f t="shared" si="12"/>
        <v>0</v>
      </c>
      <c r="AC33" s="387"/>
      <c r="AD33" s="319"/>
      <c r="AE33" s="334">
        <f t="shared" si="13"/>
        <v>68537.162812499984</v>
      </c>
      <c r="AF33" s="319"/>
      <c r="AG33" s="335">
        <f t="shared" si="14"/>
        <v>0</v>
      </c>
      <c r="AH33" s="381"/>
      <c r="AI33" s="334">
        <f>S33*30%</f>
        <v>68537.162812499984</v>
      </c>
      <c r="AJ33" s="334"/>
      <c r="AK33" s="334"/>
      <c r="AL33" s="319"/>
      <c r="AM33" s="334">
        <f t="shared" si="16"/>
        <v>388377.25593749993</v>
      </c>
      <c r="AN33" s="334">
        <f t="shared" si="17"/>
        <v>4660527.0712499991</v>
      </c>
      <c r="AO33" s="221"/>
    </row>
    <row r="34" spans="1:41" s="2" customFormat="1" ht="19.5" customHeight="1">
      <c r="A34" s="381">
        <v>13</v>
      </c>
      <c r="B34" s="378" t="s">
        <v>521</v>
      </c>
      <c r="C34" s="378" t="s">
        <v>481</v>
      </c>
      <c r="D34" s="382" t="s">
        <v>37</v>
      </c>
      <c r="E34" s="383" t="s">
        <v>178</v>
      </c>
      <c r="F34" s="383">
        <v>14</v>
      </c>
      <c r="G34" s="384">
        <v>4.95</v>
      </c>
      <c r="H34" s="334">
        <f t="shared" si="1"/>
        <v>175200.30000000002</v>
      </c>
      <c r="I34" s="319">
        <v>2</v>
      </c>
      <c r="J34" s="381">
        <v>17697</v>
      </c>
      <c r="K34" s="385">
        <f t="shared" si="2"/>
        <v>0.4375</v>
      </c>
      <c r="L34" s="339">
        <v>7</v>
      </c>
      <c r="M34" s="339">
        <f t="shared" si="3"/>
        <v>76650.131250000006</v>
      </c>
      <c r="N34" s="339">
        <v>0</v>
      </c>
      <c r="O34" s="339">
        <f t="shared" si="4"/>
        <v>0</v>
      </c>
      <c r="P34" s="339">
        <v>0</v>
      </c>
      <c r="Q34" s="334">
        <f t="shared" si="5"/>
        <v>0</v>
      </c>
      <c r="R34" s="334">
        <f t="shared" si="6"/>
        <v>19162.532812500001</v>
      </c>
      <c r="S34" s="334">
        <f t="shared" si="7"/>
        <v>95812.6640625</v>
      </c>
      <c r="T34" s="334">
        <f t="shared" si="8"/>
        <v>9581.2664062500007</v>
      </c>
      <c r="U34" s="319">
        <v>1</v>
      </c>
      <c r="V34" s="386">
        <f t="shared" si="9"/>
        <v>8848.5</v>
      </c>
      <c r="W34" s="319"/>
      <c r="X34" s="335">
        <f t="shared" si="10"/>
        <v>0</v>
      </c>
      <c r="Y34" s="381">
        <v>4</v>
      </c>
      <c r="Z34" s="334">
        <f t="shared" si="11"/>
        <v>1769.7</v>
      </c>
      <c r="AA34" s="319"/>
      <c r="AB34" s="334">
        <f t="shared" si="12"/>
        <v>0</v>
      </c>
      <c r="AC34" s="387"/>
      <c r="AD34" s="319"/>
      <c r="AE34" s="334">
        <f t="shared" si="13"/>
        <v>28743.799218749999</v>
      </c>
      <c r="AF34" s="319"/>
      <c r="AG34" s="335">
        <f t="shared" si="14"/>
        <v>0</v>
      </c>
      <c r="AH34" s="381"/>
      <c r="AI34" s="334"/>
      <c r="AJ34" s="334">
        <f t="shared" si="15"/>
        <v>33534.432421874997</v>
      </c>
      <c r="AK34" s="334"/>
      <c r="AL34" s="319"/>
      <c r="AM34" s="334">
        <f t="shared" si="16"/>
        <v>178290.36210937501</v>
      </c>
      <c r="AN34" s="334">
        <f t="shared" si="17"/>
        <v>2139484.3453125004</v>
      </c>
      <c r="AO34" s="221"/>
    </row>
    <row r="35" spans="1:41" s="2" customFormat="1" ht="19.5" customHeight="1">
      <c r="A35" s="381">
        <v>14</v>
      </c>
      <c r="B35" s="378" t="s">
        <v>522</v>
      </c>
      <c r="C35" s="378" t="s">
        <v>483</v>
      </c>
      <c r="D35" s="382" t="s">
        <v>37</v>
      </c>
      <c r="E35" s="383" t="s">
        <v>174</v>
      </c>
      <c r="F35" s="383">
        <v>31.11</v>
      </c>
      <c r="G35" s="384">
        <v>5.41</v>
      </c>
      <c r="H35" s="334">
        <f t="shared" si="1"/>
        <v>191481.54</v>
      </c>
      <c r="I35" s="319">
        <v>2</v>
      </c>
      <c r="J35" s="381">
        <v>17697</v>
      </c>
      <c r="K35" s="385">
        <f t="shared" si="2"/>
        <v>1.4375</v>
      </c>
      <c r="L35" s="339">
        <v>0</v>
      </c>
      <c r="M35" s="339">
        <f t="shared" si="3"/>
        <v>0</v>
      </c>
      <c r="N35" s="339">
        <v>14</v>
      </c>
      <c r="O35" s="339">
        <f t="shared" si="4"/>
        <v>167546.3475</v>
      </c>
      <c r="P35" s="339">
        <v>9</v>
      </c>
      <c r="Q35" s="334">
        <f t="shared" si="5"/>
        <v>107708.36625000001</v>
      </c>
      <c r="R35" s="334">
        <f t="shared" si="6"/>
        <v>68813.678437499999</v>
      </c>
      <c r="S35" s="334">
        <f t="shared" si="7"/>
        <v>344068.39218750002</v>
      </c>
      <c r="T35" s="334">
        <f t="shared" si="8"/>
        <v>34406.839218750007</v>
      </c>
      <c r="U35" s="319"/>
      <c r="V35" s="386">
        <f t="shared" si="9"/>
        <v>0</v>
      </c>
      <c r="W35" s="319"/>
      <c r="X35" s="335">
        <f t="shared" si="10"/>
        <v>0</v>
      </c>
      <c r="Y35" s="381"/>
      <c r="Z35" s="334">
        <f t="shared" si="11"/>
        <v>0</v>
      </c>
      <c r="AA35" s="319"/>
      <c r="AB35" s="334">
        <f t="shared" si="12"/>
        <v>0</v>
      </c>
      <c r="AC35" s="387"/>
      <c r="AD35" s="319"/>
      <c r="AE35" s="334">
        <f t="shared" si="13"/>
        <v>103220.51765625</v>
      </c>
      <c r="AF35" s="319"/>
      <c r="AG35" s="335">
        <f t="shared" si="14"/>
        <v>0</v>
      </c>
      <c r="AH35" s="381"/>
      <c r="AI35" s="334"/>
      <c r="AJ35" s="334"/>
      <c r="AK35" s="334">
        <f t="shared" si="18"/>
        <v>137627.35687500003</v>
      </c>
      <c r="AL35" s="319"/>
      <c r="AM35" s="334">
        <f t="shared" si="16"/>
        <v>619323.10593750002</v>
      </c>
      <c r="AN35" s="334">
        <f t="shared" si="17"/>
        <v>7431877.2712500002</v>
      </c>
      <c r="AO35" s="221"/>
    </row>
    <row r="36" spans="1:41" s="2" customFormat="1" ht="19.5" customHeight="1">
      <c r="A36" s="381">
        <v>15</v>
      </c>
      <c r="B36" s="378" t="s">
        <v>627</v>
      </c>
      <c r="C36" s="378" t="s">
        <v>510</v>
      </c>
      <c r="D36" s="382" t="s">
        <v>37</v>
      </c>
      <c r="E36" s="383" t="s">
        <v>175</v>
      </c>
      <c r="F36" s="384">
        <v>11.11</v>
      </c>
      <c r="G36" s="384">
        <v>4.38</v>
      </c>
      <c r="H36" s="334">
        <f t="shared" si="1"/>
        <v>155025.72</v>
      </c>
      <c r="I36" s="319">
        <v>2</v>
      </c>
      <c r="J36" s="381">
        <v>17697</v>
      </c>
      <c r="K36" s="385">
        <f t="shared" si="2"/>
        <v>0.375</v>
      </c>
      <c r="L36" s="339">
        <v>0</v>
      </c>
      <c r="M36" s="339">
        <f t="shared" si="3"/>
        <v>0</v>
      </c>
      <c r="N36" s="339">
        <v>6</v>
      </c>
      <c r="O36" s="339">
        <f t="shared" si="4"/>
        <v>58134.645000000004</v>
      </c>
      <c r="P36" s="339">
        <v>0</v>
      </c>
      <c r="Q36" s="334">
        <f t="shared" si="5"/>
        <v>0</v>
      </c>
      <c r="R36" s="334">
        <f t="shared" si="6"/>
        <v>14533.661250000001</v>
      </c>
      <c r="S36" s="334">
        <f t="shared" si="7"/>
        <v>72668.306250000009</v>
      </c>
      <c r="T36" s="334">
        <f t="shared" si="8"/>
        <v>7266.8306250000014</v>
      </c>
      <c r="U36" s="319"/>
      <c r="V36" s="386">
        <f t="shared" si="9"/>
        <v>0</v>
      </c>
      <c r="W36" s="319"/>
      <c r="X36" s="335">
        <f t="shared" si="10"/>
        <v>0</v>
      </c>
      <c r="Y36" s="381"/>
      <c r="Z36" s="334">
        <f t="shared" si="11"/>
        <v>0</v>
      </c>
      <c r="AA36" s="319"/>
      <c r="AB36" s="334">
        <f t="shared" si="12"/>
        <v>0</v>
      </c>
      <c r="AC36" s="387"/>
      <c r="AD36" s="319"/>
      <c r="AE36" s="334">
        <f t="shared" si="13"/>
        <v>21800.491875000003</v>
      </c>
      <c r="AF36" s="319"/>
      <c r="AG36" s="335">
        <f t="shared" si="14"/>
        <v>0</v>
      </c>
      <c r="AH36" s="381"/>
      <c r="AI36" s="334"/>
      <c r="AJ36" s="334"/>
      <c r="AK36" s="334"/>
      <c r="AL36" s="319"/>
      <c r="AM36" s="334">
        <f t="shared" si="16"/>
        <v>101735.62875000002</v>
      </c>
      <c r="AN36" s="334">
        <f t="shared" si="17"/>
        <v>1220827.5450000002</v>
      </c>
      <c r="AO36" s="221"/>
    </row>
    <row r="37" spans="1:41" s="2" customFormat="1" ht="19.5" customHeight="1">
      <c r="A37" s="381">
        <v>16</v>
      </c>
      <c r="B37" s="378" t="s">
        <v>523</v>
      </c>
      <c r="C37" s="378" t="s">
        <v>568</v>
      </c>
      <c r="D37" s="382" t="s">
        <v>37</v>
      </c>
      <c r="E37" s="383" t="s">
        <v>178</v>
      </c>
      <c r="F37" s="383">
        <v>31.4</v>
      </c>
      <c r="G37" s="388">
        <v>5.2</v>
      </c>
      <c r="H37" s="334">
        <f t="shared" si="1"/>
        <v>184048.80000000002</v>
      </c>
      <c r="I37" s="319">
        <v>2</v>
      </c>
      <c r="J37" s="381">
        <v>17697</v>
      </c>
      <c r="K37" s="385">
        <f t="shared" si="2"/>
        <v>1</v>
      </c>
      <c r="L37" s="339">
        <v>1</v>
      </c>
      <c r="M37" s="339">
        <f t="shared" si="3"/>
        <v>11503.050000000001</v>
      </c>
      <c r="N37" s="339">
        <v>13</v>
      </c>
      <c r="O37" s="339">
        <f t="shared" si="4"/>
        <v>149539.65000000002</v>
      </c>
      <c r="P37" s="339">
        <v>2</v>
      </c>
      <c r="Q37" s="334">
        <f t="shared" si="5"/>
        <v>23006.100000000002</v>
      </c>
      <c r="R37" s="334">
        <f t="shared" si="6"/>
        <v>46012.200000000004</v>
      </c>
      <c r="S37" s="334">
        <f t="shared" si="7"/>
        <v>230061.00000000003</v>
      </c>
      <c r="T37" s="334">
        <f t="shared" si="8"/>
        <v>23006.100000000006</v>
      </c>
      <c r="U37" s="319"/>
      <c r="V37" s="386">
        <f t="shared" si="9"/>
        <v>0</v>
      </c>
      <c r="W37" s="319"/>
      <c r="X37" s="335">
        <f t="shared" si="10"/>
        <v>0</v>
      </c>
      <c r="Y37" s="381"/>
      <c r="Z37" s="334">
        <f t="shared" si="11"/>
        <v>0</v>
      </c>
      <c r="AA37" s="319"/>
      <c r="AB37" s="334">
        <f t="shared" si="12"/>
        <v>0</v>
      </c>
      <c r="AC37" s="387"/>
      <c r="AD37" s="319"/>
      <c r="AE37" s="334">
        <f t="shared" si="13"/>
        <v>69018.3</v>
      </c>
      <c r="AF37" s="319"/>
      <c r="AG37" s="335">
        <f t="shared" si="14"/>
        <v>0</v>
      </c>
      <c r="AH37" s="381">
        <v>3539</v>
      </c>
      <c r="AI37" s="334"/>
      <c r="AJ37" s="334">
        <f t="shared" si="15"/>
        <v>80521.350000000006</v>
      </c>
      <c r="AK37" s="334"/>
      <c r="AL37" s="319"/>
      <c r="AM37" s="334">
        <f t="shared" si="16"/>
        <v>406145.75</v>
      </c>
      <c r="AN37" s="334">
        <f t="shared" si="17"/>
        <v>4873749</v>
      </c>
      <c r="AO37" s="221"/>
    </row>
    <row r="38" spans="1:41" s="2" customFormat="1" ht="19.5" customHeight="1">
      <c r="A38" s="381">
        <v>17</v>
      </c>
      <c r="B38" s="378" t="s">
        <v>524</v>
      </c>
      <c r="C38" s="378" t="s">
        <v>486</v>
      </c>
      <c r="D38" s="382" t="s">
        <v>37</v>
      </c>
      <c r="E38" s="383" t="s">
        <v>175</v>
      </c>
      <c r="F38" s="383">
        <v>2.5</v>
      </c>
      <c r="G38" s="384">
        <v>4.1900000000000004</v>
      </c>
      <c r="H38" s="334">
        <f t="shared" si="1"/>
        <v>148300.86000000002</v>
      </c>
      <c r="I38" s="319">
        <v>2</v>
      </c>
      <c r="J38" s="381">
        <v>17697</v>
      </c>
      <c r="K38" s="385">
        <f t="shared" si="2"/>
        <v>1.1875</v>
      </c>
      <c r="L38" s="339">
        <v>0</v>
      </c>
      <c r="M38" s="339">
        <f t="shared" si="3"/>
        <v>0</v>
      </c>
      <c r="N38" s="339">
        <v>15</v>
      </c>
      <c r="O38" s="339">
        <f t="shared" si="4"/>
        <v>139032.05625000002</v>
      </c>
      <c r="P38" s="339">
        <v>4</v>
      </c>
      <c r="Q38" s="334">
        <f t="shared" si="5"/>
        <v>37075.215000000004</v>
      </c>
      <c r="R38" s="334">
        <f t="shared" si="6"/>
        <v>44026.817812500005</v>
      </c>
      <c r="S38" s="334">
        <f t="shared" si="7"/>
        <v>220134.08906250002</v>
      </c>
      <c r="T38" s="334">
        <f t="shared" si="8"/>
        <v>22013.408906250002</v>
      </c>
      <c r="U38" s="319"/>
      <c r="V38" s="386">
        <f t="shared" si="9"/>
        <v>0</v>
      </c>
      <c r="W38" s="319"/>
      <c r="X38" s="335">
        <f t="shared" si="10"/>
        <v>0</v>
      </c>
      <c r="Y38" s="381">
        <v>11</v>
      </c>
      <c r="Z38" s="334">
        <f t="shared" si="11"/>
        <v>4866.6750000000002</v>
      </c>
      <c r="AA38" s="319"/>
      <c r="AB38" s="334">
        <f t="shared" si="12"/>
        <v>0</v>
      </c>
      <c r="AC38" s="387"/>
      <c r="AD38" s="319"/>
      <c r="AE38" s="334">
        <f t="shared" si="13"/>
        <v>66040.226718749997</v>
      </c>
      <c r="AF38" s="319"/>
      <c r="AG38" s="335">
        <f t="shared" si="14"/>
        <v>0</v>
      </c>
      <c r="AH38" s="381"/>
      <c r="AI38" s="334"/>
      <c r="AJ38" s="334"/>
      <c r="AK38" s="334"/>
      <c r="AL38" s="319"/>
      <c r="AM38" s="334">
        <f t="shared" si="16"/>
        <v>313054.39968749997</v>
      </c>
      <c r="AN38" s="334">
        <f t="shared" si="17"/>
        <v>3756652.7962499997</v>
      </c>
      <c r="AO38" s="221"/>
    </row>
    <row r="39" spans="1:41" s="2" customFormat="1" ht="19.5" customHeight="1">
      <c r="A39" s="381">
        <v>18</v>
      </c>
      <c r="B39" s="378" t="s">
        <v>525</v>
      </c>
      <c r="C39" s="378" t="s">
        <v>480</v>
      </c>
      <c r="D39" s="382" t="s">
        <v>37</v>
      </c>
      <c r="E39" s="383" t="s">
        <v>177</v>
      </c>
      <c r="F39" s="383">
        <v>6.1</v>
      </c>
      <c r="G39" s="384">
        <v>4.66</v>
      </c>
      <c r="H39" s="334">
        <f t="shared" si="1"/>
        <v>164936.04</v>
      </c>
      <c r="I39" s="319">
        <v>2</v>
      </c>
      <c r="J39" s="381">
        <v>17697</v>
      </c>
      <c r="K39" s="385">
        <f t="shared" si="2"/>
        <v>1.125</v>
      </c>
      <c r="L39" s="339"/>
      <c r="M39" s="339">
        <f t="shared" si="3"/>
        <v>0</v>
      </c>
      <c r="N39" s="339">
        <v>15</v>
      </c>
      <c r="O39" s="339">
        <f t="shared" si="4"/>
        <v>154627.53750000001</v>
      </c>
      <c r="P39" s="339">
        <v>3</v>
      </c>
      <c r="Q39" s="334">
        <f t="shared" si="5"/>
        <v>30925.5075</v>
      </c>
      <c r="R39" s="334">
        <f t="shared" si="6"/>
        <v>46388.261250000003</v>
      </c>
      <c r="S39" s="334">
        <f t="shared" si="7"/>
        <v>231941.30625000002</v>
      </c>
      <c r="T39" s="334">
        <f t="shared" si="8"/>
        <v>23194.130625000005</v>
      </c>
      <c r="U39" s="319"/>
      <c r="V39" s="386">
        <f t="shared" si="9"/>
        <v>0</v>
      </c>
      <c r="W39" s="319">
        <v>1</v>
      </c>
      <c r="X39" s="335">
        <f t="shared" si="10"/>
        <v>10618.199999999999</v>
      </c>
      <c r="Y39" s="381">
        <v>13</v>
      </c>
      <c r="Z39" s="334">
        <f t="shared" si="11"/>
        <v>5751.5250000000005</v>
      </c>
      <c r="AA39" s="319"/>
      <c r="AB39" s="334">
        <f t="shared" si="12"/>
        <v>0</v>
      </c>
      <c r="AC39" s="387"/>
      <c r="AD39" s="319"/>
      <c r="AE39" s="334">
        <f t="shared" si="13"/>
        <v>69582.391875000001</v>
      </c>
      <c r="AF39" s="319"/>
      <c r="AG39" s="335">
        <f t="shared" si="14"/>
        <v>0</v>
      </c>
      <c r="AH39" s="381"/>
      <c r="AI39" s="334">
        <f t="shared" ref="AI39:AI77" si="19">S39*30%</f>
        <v>69582.391875000001</v>
      </c>
      <c r="AJ39" s="334"/>
      <c r="AK39" s="334"/>
      <c r="AL39" s="319"/>
      <c r="AM39" s="334">
        <f t="shared" si="16"/>
        <v>410669.94562500005</v>
      </c>
      <c r="AN39" s="334">
        <f t="shared" si="17"/>
        <v>4928039.3475000001</v>
      </c>
      <c r="AO39" s="221"/>
    </row>
    <row r="40" spans="1:41" s="2" customFormat="1" ht="19.5" customHeight="1">
      <c r="A40" s="381">
        <v>19</v>
      </c>
      <c r="B40" s="378" t="s">
        <v>499</v>
      </c>
      <c r="C40" s="378" t="s">
        <v>574</v>
      </c>
      <c r="D40" s="382" t="s">
        <v>37</v>
      </c>
      <c r="E40" s="383" t="s">
        <v>174</v>
      </c>
      <c r="F40" s="383">
        <v>28</v>
      </c>
      <c r="G40" s="384">
        <v>5.41</v>
      </c>
      <c r="H40" s="334">
        <f t="shared" si="1"/>
        <v>191481.54</v>
      </c>
      <c r="I40" s="319">
        <v>2</v>
      </c>
      <c r="J40" s="381">
        <v>17697</v>
      </c>
      <c r="K40" s="385">
        <f t="shared" si="2"/>
        <v>0.5</v>
      </c>
      <c r="L40" s="339">
        <v>0</v>
      </c>
      <c r="M40" s="339">
        <f t="shared" si="3"/>
        <v>0</v>
      </c>
      <c r="N40" s="339">
        <v>8</v>
      </c>
      <c r="O40" s="339">
        <f t="shared" si="4"/>
        <v>95740.77</v>
      </c>
      <c r="P40" s="389">
        <v>0</v>
      </c>
      <c r="Q40" s="334">
        <f t="shared" si="5"/>
        <v>0</v>
      </c>
      <c r="R40" s="334">
        <f t="shared" si="6"/>
        <v>23935.192500000001</v>
      </c>
      <c r="S40" s="334">
        <f t="shared" si="7"/>
        <v>119675.96250000001</v>
      </c>
      <c r="T40" s="334">
        <f t="shared" si="8"/>
        <v>11967.596250000002</v>
      </c>
      <c r="U40" s="319"/>
      <c r="V40" s="386">
        <f t="shared" si="9"/>
        <v>0</v>
      </c>
      <c r="W40" s="319"/>
      <c r="X40" s="335">
        <f t="shared" si="10"/>
        <v>0</v>
      </c>
      <c r="Y40" s="319"/>
      <c r="Z40" s="334">
        <f t="shared" si="11"/>
        <v>0</v>
      </c>
      <c r="AA40" s="319">
        <v>8</v>
      </c>
      <c r="AB40" s="334">
        <f t="shared" si="12"/>
        <v>4424.25</v>
      </c>
      <c r="AC40" s="387"/>
      <c r="AD40" s="319"/>
      <c r="AE40" s="334">
        <f t="shared" si="13"/>
        <v>35902.78875</v>
      </c>
      <c r="AF40" s="319"/>
      <c r="AG40" s="335">
        <f t="shared" si="14"/>
        <v>0</v>
      </c>
      <c r="AH40" s="319"/>
      <c r="AI40" s="334"/>
      <c r="AJ40" s="334"/>
      <c r="AK40" s="334">
        <f t="shared" si="18"/>
        <v>47870.385000000009</v>
      </c>
      <c r="AL40" s="319"/>
      <c r="AM40" s="334">
        <f t="shared" si="16"/>
        <v>219840.98250000004</v>
      </c>
      <c r="AN40" s="334">
        <f t="shared" si="17"/>
        <v>2638091.7900000005</v>
      </c>
      <c r="AO40" s="221"/>
    </row>
    <row r="41" spans="1:41" s="2" customFormat="1" ht="19.5" customHeight="1">
      <c r="A41" s="381">
        <v>20</v>
      </c>
      <c r="B41" s="378" t="s">
        <v>628</v>
      </c>
      <c r="C41" s="378" t="s">
        <v>489</v>
      </c>
      <c r="D41" s="382" t="s">
        <v>37</v>
      </c>
      <c r="E41" s="383" t="s">
        <v>175</v>
      </c>
      <c r="F41" s="383">
        <v>13.11</v>
      </c>
      <c r="G41" s="384">
        <v>4.49</v>
      </c>
      <c r="H41" s="334">
        <f t="shared" si="1"/>
        <v>158919.06</v>
      </c>
      <c r="I41" s="319">
        <v>2</v>
      </c>
      <c r="J41" s="381">
        <v>17697</v>
      </c>
      <c r="K41" s="385">
        <f t="shared" si="2"/>
        <v>0.4375</v>
      </c>
      <c r="L41" s="339"/>
      <c r="M41" s="339">
        <f t="shared" si="3"/>
        <v>0</v>
      </c>
      <c r="N41" s="339">
        <v>0</v>
      </c>
      <c r="O41" s="339">
        <f t="shared" si="4"/>
        <v>0</v>
      </c>
      <c r="P41" s="339">
        <v>7</v>
      </c>
      <c r="Q41" s="334">
        <f t="shared" si="5"/>
        <v>69527.088749999995</v>
      </c>
      <c r="R41" s="334">
        <f t="shared" si="6"/>
        <v>17381.772187499999</v>
      </c>
      <c r="S41" s="334">
        <f t="shared" si="7"/>
        <v>86908.860937499994</v>
      </c>
      <c r="T41" s="334">
        <f t="shared" si="8"/>
        <v>8690.8860937499994</v>
      </c>
      <c r="U41" s="319"/>
      <c r="V41" s="386">
        <f t="shared" si="9"/>
        <v>0</v>
      </c>
      <c r="W41" s="319"/>
      <c r="X41" s="335">
        <f t="shared" si="10"/>
        <v>0</v>
      </c>
      <c r="Y41" s="381"/>
      <c r="Z41" s="334">
        <f t="shared" si="11"/>
        <v>0</v>
      </c>
      <c r="AA41" s="319"/>
      <c r="AB41" s="334">
        <f t="shared" si="12"/>
        <v>0</v>
      </c>
      <c r="AC41" s="387"/>
      <c r="AD41" s="319"/>
      <c r="AE41" s="334">
        <f t="shared" si="13"/>
        <v>26072.658281249998</v>
      </c>
      <c r="AF41" s="319"/>
      <c r="AG41" s="335">
        <f t="shared" si="14"/>
        <v>0</v>
      </c>
      <c r="AH41" s="381"/>
      <c r="AI41" s="334"/>
      <c r="AJ41" s="334"/>
      <c r="AK41" s="334"/>
      <c r="AL41" s="319"/>
      <c r="AM41" s="334">
        <f t="shared" si="16"/>
        <v>121672.40531249999</v>
      </c>
      <c r="AN41" s="334">
        <f t="shared" si="17"/>
        <v>1460068.86375</v>
      </c>
      <c r="AO41" s="221"/>
    </row>
    <row r="42" spans="1:41" s="2" customFormat="1" ht="19.5" customHeight="1">
      <c r="A42" s="381">
        <v>21</v>
      </c>
      <c r="B42" s="378" t="s">
        <v>516</v>
      </c>
      <c r="C42" s="378" t="s">
        <v>488</v>
      </c>
      <c r="D42" s="382" t="s">
        <v>37</v>
      </c>
      <c r="E42" s="383" t="s">
        <v>177</v>
      </c>
      <c r="F42" s="383">
        <v>24.6</v>
      </c>
      <c r="G42" s="384">
        <v>5.08</v>
      </c>
      <c r="H42" s="334">
        <f t="shared" si="1"/>
        <v>179801.52</v>
      </c>
      <c r="I42" s="319">
        <v>2</v>
      </c>
      <c r="J42" s="381">
        <v>17697</v>
      </c>
      <c r="K42" s="385">
        <f t="shared" si="2"/>
        <v>1.125</v>
      </c>
      <c r="L42" s="339">
        <v>0</v>
      </c>
      <c r="M42" s="339">
        <f t="shared" si="3"/>
        <v>0</v>
      </c>
      <c r="N42" s="339">
        <v>17</v>
      </c>
      <c r="O42" s="339">
        <f t="shared" si="4"/>
        <v>191039.11499999999</v>
      </c>
      <c r="P42" s="339">
        <v>1</v>
      </c>
      <c r="Q42" s="334">
        <f t="shared" si="5"/>
        <v>11237.594999999999</v>
      </c>
      <c r="R42" s="334">
        <f t="shared" si="6"/>
        <v>50569.177499999998</v>
      </c>
      <c r="S42" s="334">
        <f t="shared" si="7"/>
        <v>252845.88749999998</v>
      </c>
      <c r="T42" s="334">
        <f t="shared" si="8"/>
        <v>25284.588749999999</v>
      </c>
      <c r="U42" s="319"/>
      <c r="V42" s="386">
        <f t="shared" si="9"/>
        <v>0</v>
      </c>
      <c r="W42" s="319"/>
      <c r="X42" s="335">
        <f t="shared" si="10"/>
        <v>0</v>
      </c>
      <c r="Y42" s="381"/>
      <c r="Z42" s="334">
        <f t="shared" si="11"/>
        <v>0</v>
      </c>
      <c r="AA42" s="319"/>
      <c r="AB42" s="334">
        <f t="shared" si="12"/>
        <v>0</v>
      </c>
      <c r="AC42" s="387"/>
      <c r="AD42" s="319"/>
      <c r="AE42" s="334">
        <f t="shared" si="13"/>
        <v>75853.766249999986</v>
      </c>
      <c r="AF42" s="319"/>
      <c r="AG42" s="335">
        <f t="shared" si="14"/>
        <v>0</v>
      </c>
      <c r="AH42" s="381"/>
      <c r="AI42" s="334">
        <f>S42*30%</f>
        <v>75853.766249999986</v>
      </c>
      <c r="AJ42" s="334"/>
      <c r="AK42" s="334"/>
      <c r="AL42" s="319"/>
      <c r="AM42" s="334">
        <f t="shared" si="16"/>
        <v>429838.00874999998</v>
      </c>
      <c r="AN42" s="334">
        <f t="shared" si="17"/>
        <v>5158056.1049999995</v>
      </c>
      <c r="AO42" s="221"/>
    </row>
    <row r="43" spans="1:41" s="2" customFormat="1" ht="19.5" customHeight="1">
      <c r="A43" s="381">
        <v>22</v>
      </c>
      <c r="B43" s="378" t="s">
        <v>526</v>
      </c>
      <c r="C43" s="378" t="s">
        <v>484</v>
      </c>
      <c r="D43" s="382" t="s">
        <v>37</v>
      </c>
      <c r="E43" s="383" t="s">
        <v>175</v>
      </c>
      <c r="F43" s="383">
        <v>2</v>
      </c>
      <c r="G43" s="384">
        <v>4.1900000000000004</v>
      </c>
      <c r="H43" s="334">
        <f t="shared" si="1"/>
        <v>148300.86000000002</v>
      </c>
      <c r="I43" s="319">
        <v>2</v>
      </c>
      <c r="J43" s="381">
        <v>17697</v>
      </c>
      <c r="K43" s="385">
        <f t="shared" si="2"/>
        <v>1.375</v>
      </c>
      <c r="L43" s="339"/>
      <c r="M43" s="339">
        <f t="shared" si="3"/>
        <v>0</v>
      </c>
      <c r="N43" s="339">
        <v>22</v>
      </c>
      <c r="O43" s="339">
        <f t="shared" si="4"/>
        <v>203913.68250000002</v>
      </c>
      <c r="P43" s="339">
        <v>0</v>
      </c>
      <c r="Q43" s="334">
        <f t="shared" si="5"/>
        <v>0</v>
      </c>
      <c r="R43" s="334">
        <f t="shared" si="6"/>
        <v>50978.420625000006</v>
      </c>
      <c r="S43" s="334">
        <f t="shared" si="7"/>
        <v>254892.10312500002</v>
      </c>
      <c r="T43" s="334">
        <f t="shared" si="8"/>
        <v>25489.210312500003</v>
      </c>
      <c r="U43" s="319"/>
      <c r="V43" s="386">
        <f t="shared" si="9"/>
        <v>0</v>
      </c>
      <c r="W43" s="319">
        <v>1</v>
      </c>
      <c r="X43" s="335">
        <f t="shared" si="10"/>
        <v>10618.199999999999</v>
      </c>
      <c r="Y43" s="381"/>
      <c r="Z43" s="334">
        <f t="shared" si="11"/>
        <v>0</v>
      </c>
      <c r="AA43" s="319">
        <v>10.5</v>
      </c>
      <c r="AB43" s="334">
        <f t="shared" si="12"/>
        <v>5806.828125</v>
      </c>
      <c r="AC43" s="387"/>
      <c r="AD43" s="319"/>
      <c r="AE43" s="334">
        <f t="shared" si="13"/>
        <v>76467.630937499998</v>
      </c>
      <c r="AF43" s="319"/>
      <c r="AG43" s="335">
        <f t="shared" si="14"/>
        <v>0</v>
      </c>
      <c r="AH43" s="381"/>
      <c r="AI43" s="334"/>
      <c r="AJ43" s="334"/>
      <c r="AK43" s="334"/>
      <c r="AL43" s="319"/>
      <c r="AM43" s="334">
        <f t="shared" si="16"/>
        <v>373273.97250000003</v>
      </c>
      <c r="AN43" s="334">
        <f t="shared" si="17"/>
        <v>4479287.67</v>
      </c>
      <c r="AO43" s="221"/>
    </row>
    <row r="44" spans="1:41" s="2" customFormat="1" ht="19.5" customHeight="1">
      <c r="A44" s="381">
        <v>23</v>
      </c>
      <c r="B44" s="378" t="s">
        <v>505</v>
      </c>
      <c r="C44" s="378" t="s">
        <v>485</v>
      </c>
      <c r="D44" s="382" t="s">
        <v>37</v>
      </c>
      <c r="E44" s="383" t="s">
        <v>175</v>
      </c>
      <c r="F44" s="384">
        <v>15.1</v>
      </c>
      <c r="G44" s="384">
        <v>4.49</v>
      </c>
      <c r="H44" s="334">
        <f t="shared" si="1"/>
        <v>158919.06</v>
      </c>
      <c r="I44" s="319">
        <v>2</v>
      </c>
      <c r="J44" s="381">
        <v>17697</v>
      </c>
      <c r="K44" s="385">
        <f t="shared" si="2"/>
        <v>0.5</v>
      </c>
      <c r="L44" s="339">
        <v>0</v>
      </c>
      <c r="M44" s="339">
        <f t="shared" si="3"/>
        <v>0</v>
      </c>
      <c r="N44" s="339">
        <v>7</v>
      </c>
      <c r="O44" s="339">
        <f t="shared" si="4"/>
        <v>69527.088749999995</v>
      </c>
      <c r="P44" s="339">
        <v>1</v>
      </c>
      <c r="Q44" s="334">
        <f t="shared" si="5"/>
        <v>9932.4412499999999</v>
      </c>
      <c r="R44" s="334">
        <f t="shared" si="6"/>
        <v>19864.8825</v>
      </c>
      <c r="S44" s="334">
        <f t="shared" si="7"/>
        <v>99324.412500000006</v>
      </c>
      <c r="T44" s="334">
        <f t="shared" si="8"/>
        <v>9932.4412500000017</v>
      </c>
      <c r="U44" s="319"/>
      <c r="V44" s="386">
        <f t="shared" si="9"/>
        <v>0</v>
      </c>
      <c r="W44" s="319"/>
      <c r="X44" s="335">
        <f t="shared" si="10"/>
        <v>0</v>
      </c>
      <c r="Y44" s="381"/>
      <c r="Z44" s="334">
        <f t="shared" si="11"/>
        <v>0</v>
      </c>
      <c r="AA44" s="319"/>
      <c r="AB44" s="334">
        <f t="shared" si="12"/>
        <v>0</v>
      </c>
      <c r="AC44" s="387"/>
      <c r="AD44" s="319"/>
      <c r="AE44" s="334">
        <f t="shared" si="13"/>
        <v>29797.32375</v>
      </c>
      <c r="AF44" s="319"/>
      <c r="AG44" s="335">
        <f t="shared" si="14"/>
        <v>0</v>
      </c>
      <c r="AH44" s="381"/>
      <c r="AI44" s="334"/>
      <c r="AJ44" s="334"/>
      <c r="AK44" s="334"/>
      <c r="AL44" s="319"/>
      <c r="AM44" s="334">
        <f t="shared" si="16"/>
        <v>139054.17750000002</v>
      </c>
      <c r="AN44" s="334">
        <f t="shared" si="17"/>
        <v>1668650.1300000004</v>
      </c>
      <c r="AO44" s="221"/>
    </row>
    <row r="45" spans="1:41" s="2" customFormat="1" ht="19.5" customHeight="1">
      <c r="A45" s="381">
        <v>24</v>
      </c>
      <c r="B45" s="378" t="s">
        <v>527</v>
      </c>
      <c r="C45" s="378" t="s">
        <v>480</v>
      </c>
      <c r="D45" s="382" t="s">
        <v>37</v>
      </c>
      <c r="E45" s="383" t="s">
        <v>177</v>
      </c>
      <c r="F45" s="384">
        <v>8.1</v>
      </c>
      <c r="G45" s="384">
        <v>4.74</v>
      </c>
      <c r="H45" s="334">
        <f t="shared" si="1"/>
        <v>167767.56</v>
      </c>
      <c r="I45" s="319">
        <v>2</v>
      </c>
      <c r="J45" s="381">
        <v>17697</v>
      </c>
      <c r="K45" s="385">
        <f t="shared" si="2"/>
        <v>1.125</v>
      </c>
      <c r="L45" s="339">
        <v>4</v>
      </c>
      <c r="M45" s="339">
        <f t="shared" si="3"/>
        <v>41941.89</v>
      </c>
      <c r="N45" s="339">
        <v>14</v>
      </c>
      <c r="O45" s="339">
        <f t="shared" si="4"/>
        <v>146796.61499999999</v>
      </c>
      <c r="P45" s="339">
        <v>0</v>
      </c>
      <c r="Q45" s="334">
        <f t="shared" si="5"/>
        <v>0</v>
      </c>
      <c r="R45" s="334">
        <f t="shared" si="6"/>
        <v>47184.626250000001</v>
      </c>
      <c r="S45" s="334">
        <f t="shared" si="7"/>
        <v>235923.13125000001</v>
      </c>
      <c r="T45" s="334">
        <f t="shared" si="8"/>
        <v>23592.313125000001</v>
      </c>
      <c r="U45" s="319"/>
      <c r="V45" s="386">
        <f t="shared" si="9"/>
        <v>0</v>
      </c>
      <c r="W45" s="319">
        <v>1</v>
      </c>
      <c r="X45" s="335">
        <f t="shared" si="10"/>
        <v>10618.199999999999</v>
      </c>
      <c r="Y45" s="381">
        <v>9.5</v>
      </c>
      <c r="Z45" s="334">
        <f t="shared" si="11"/>
        <v>4203.0375000000004</v>
      </c>
      <c r="AA45" s="319"/>
      <c r="AB45" s="334">
        <f t="shared" si="12"/>
        <v>0</v>
      </c>
      <c r="AC45" s="387"/>
      <c r="AD45" s="319"/>
      <c r="AE45" s="334">
        <f t="shared" si="13"/>
        <v>70776.939375000002</v>
      </c>
      <c r="AF45" s="319"/>
      <c r="AG45" s="335">
        <f t="shared" si="14"/>
        <v>0</v>
      </c>
      <c r="AH45" s="381"/>
      <c r="AI45" s="334">
        <f t="shared" si="19"/>
        <v>70776.939375000002</v>
      </c>
      <c r="AJ45" s="334"/>
      <c r="AK45" s="334"/>
      <c r="AL45" s="319"/>
      <c r="AM45" s="334">
        <f t="shared" si="16"/>
        <v>415890.56062500004</v>
      </c>
      <c r="AN45" s="334">
        <f t="shared" si="17"/>
        <v>4990686.727500001</v>
      </c>
      <c r="AO45" s="221"/>
    </row>
    <row r="46" spans="1:41" s="2" customFormat="1" ht="19.5" customHeight="1">
      <c r="A46" s="381">
        <v>25</v>
      </c>
      <c r="B46" s="378" t="s">
        <v>528</v>
      </c>
      <c r="C46" s="378" t="s">
        <v>568</v>
      </c>
      <c r="D46" s="382" t="s">
        <v>37</v>
      </c>
      <c r="E46" s="383" t="s">
        <v>177</v>
      </c>
      <c r="F46" s="383">
        <v>25.11</v>
      </c>
      <c r="G46" s="384">
        <v>5.16</v>
      </c>
      <c r="H46" s="334">
        <f t="shared" si="1"/>
        <v>182633.04</v>
      </c>
      <c r="I46" s="319">
        <v>2</v>
      </c>
      <c r="J46" s="381">
        <v>17697</v>
      </c>
      <c r="K46" s="385">
        <f t="shared" si="2"/>
        <v>1.21875</v>
      </c>
      <c r="L46" s="339">
        <v>6</v>
      </c>
      <c r="M46" s="339">
        <f t="shared" si="3"/>
        <v>68487.39</v>
      </c>
      <c r="N46" s="390">
        <v>12.5</v>
      </c>
      <c r="O46" s="339">
        <f t="shared" si="4"/>
        <v>142682.0625</v>
      </c>
      <c r="P46" s="339">
        <v>1</v>
      </c>
      <c r="Q46" s="334">
        <f t="shared" si="5"/>
        <v>11414.565000000001</v>
      </c>
      <c r="R46" s="334">
        <f t="shared" si="6"/>
        <v>55646.004375000004</v>
      </c>
      <c r="S46" s="334">
        <f t="shared" si="7"/>
        <v>278230.02187500003</v>
      </c>
      <c r="T46" s="334">
        <f t="shared" si="8"/>
        <v>27823.002187500006</v>
      </c>
      <c r="U46" s="319"/>
      <c r="V46" s="386">
        <f t="shared" si="9"/>
        <v>0</v>
      </c>
      <c r="W46" s="319"/>
      <c r="X46" s="335">
        <f t="shared" si="10"/>
        <v>0</v>
      </c>
      <c r="Y46" s="381"/>
      <c r="Z46" s="334">
        <f t="shared" si="11"/>
        <v>0</v>
      </c>
      <c r="AA46" s="319"/>
      <c r="AB46" s="334">
        <f t="shared" si="12"/>
        <v>0</v>
      </c>
      <c r="AC46" s="387"/>
      <c r="AD46" s="319"/>
      <c r="AE46" s="334">
        <f t="shared" si="13"/>
        <v>83469.006562500013</v>
      </c>
      <c r="AF46" s="319"/>
      <c r="AG46" s="335">
        <f t="shared" si="14"/>
        <v>0</v>
      </c>
      <c r="AH46" s="381">
        <v>3539</v>
      </c>
      <c r="AI46" s="334">
        <f t="shared" si="19"/>
        <v>83469.006562500013</v>
      </c>
      <c r="AJ46" s="334"/>
      <c r="AK46" s="334"/>
      <c r="AL46" s="319"/>
      <c r="AM46" s="334">
        <f t="shared" si="16"/>
        <v>476530.0371875001</v>
      </c>
      <c r="AN46" s="334">
        <f t="shared" si="17"/>
        <v>5718360.446250001</v>
      </c>
      <c r="AO46" s="221"/>
    </row>
    <row r="47" spans="1:41" s="2" customFormat="1" ht="19.5" customHeight="1">
      <c r="A47" s="381">
        <v>26</v>
      </c>
      <c r="B47" s="378" t="s">
        <v>529</v>
      </c>
      <c r="C47" s="378" t="s">
        <v>530</v>
      </c>
      <c r="D47" s="382" t="s">
        <v>37</v>
      </c>
      <c r="E47" s="383" t="s">
        <v>178</v>
      </c>
      <c r="F47" s="383">
        <v>6.11</v>
      </c>
      <c r="G47" s="384">
        <v>4.72</v>
      </c>
      <c r="H47" s="334">
        <f t="shared" si="1"/>
        <v>167059.68</v>
      </c>
      <c r="I47" s="319">
        <v>2</v>
      </c>
      <c r="J47" s="381">
        <v>17697</v>
      </c>
      <c r="K47" s="385">
        <f t="shared" si="2"/>
        <v>1.25</v>
      </c>
      <c r="L47" s="339">
        <v>6</v>
      </c>
      <c r="M47" s="339">
        <f t="shared" si="3"/>
        <v>62647.38</v>
      </c>
      <c r="N47" s="339">
        <v>14</v>
      </c>
      <c r="O47" s="339">
        <f t="shared" si="4"/>
        <v>146177.22</v>
      </c>
      <c r="P47" s="339">
        <v>0</v>
      </c>
      <c r="Q47" s="334">
        <f t="shared" si="5"/>
        <v>0</v>
      </c>
      <c r="R47" s="334">
        <f t="shared" si="6"/>
        <v>52206.15</v>
      </c>
      <c r="S47" s="334">
        <f t="shared" si="7"/>
        <v>261030.75</v>
      </c>
      <c r="T47" s="334">
        <f t="shared" si="8"/>
        <v>26103.075000000001</v>
      </c>
      <c r="U47" s="319"/>
      <c r="V47" s="386">
        <f t="shared" si="9"/>
        <v>0</v>
      </c>
      <c r="W47" s="319">
        <v>1</v>
      </c>
      <c r="X47" s="335">
        <f t="shared" si="10"/>
        <v>10618.199999999999</v>
      </c>
      <c r="Y47" s="381"/>
      <c r="Z47" s="334">
        <f t="shared" si="11"/>
        <v>0</v>
      </c>
      <c r="AA47" s="319"/>
      <c r="AB47" s="334">
        <f t="shared" si="12"/>
        <v>0</v>
      </c>
      <c r="AC47" s="387"/>
      <c r="AD47" s="319">
        <v>17697</v>
      </c>
      <c r="AE47" s="334">
        <f t="shared" si="13"/>
        <v>78309.224999999991</v>
      </c>
      <c r="AF47" s="319"/>
      <c r="AG47" s="335">
        <f t="shared" si="14"/>
        <v>0</v>
      </c>
      <c r="AH47" s="381">
        <v>3539</v>
      </c>
      <c r="AI47" s="334"/>
      <c r="AJ47" s="334">
        <f t="shared" si="15"/>
        <v>91360.762499999997</v>
      </c>
      <c r="AK47" s="334"/>
      <c r="AL47" s="319"/>
      <c r="AM47" s="334">
        <f t="shared" si="16"/>
        <v>488658.01250000001</v>
      </c>
      <c r="AN47" s="334">
        <f t="shared" si="17"/>
        <v>5863896.1500000004</v>
      </c>
      <c r="AO47" s="221"/>
    </row>
    <row r="48" spans="1:41" s="2" customFormat="1" ht="19.5" customHeight="1">
      <c r="A48" s="381">
        <v>27</v>
      </c>
      <c r="B48" s="378" t="s">
        <v>504</v>
      </c>
      <c r="C48" s="378" t="s">
        <v>481</v>
      </c>
      <c r="D48" s="382" t="s">
        <v>37</v>
      </c>
      <c r="E48" s="383" t="s">
        <v>178</v>
      </c>
      <c r="F48" s="383">
        <v>8.11</v>
      </c>
      <c r="G48" s="384">
        <v>4.79</v>
      </c>
      <c r="H48" s="334">
        <f t="shared" si="1"/>
        <v>169537.26</v>
      </c>
      <c r="I48" s="319">
        <v>2</v>
      </c>
      <c r="J48" s="381">
        <v>17697</v>
      </c>
      <c r="K48" s="385">
        <f t="shared" si="2"/>
        <v>0.5</v>
      </c>
      <c r="L48" s="339">
        <v>8</v>
      </c>
      <c r="M48" s="339">
        <f t="shared" si="3"/>
        <v>84768.63</v>
      </c>
      <c r="N48" s="339">
        <v>0</v>
      </c>
      <c r="O48" s="339">
        <f t="shared" si="4"/>
        <v>0</v>
      </c>
      <c r="P48" s="339">
        <v>0</v>
      </c>
      <c r="Q48" s="334">
        <f t="shared" si="5"/>
        <v>0</v>
      </c>
      <c r="R48" s="334">
        <f t="shared" si="6"/>
        <v>21192.157500000001</v>
      </c>
      <c r="S48" s="334">
        <f t="shared" si="7"/>
        <v>105960.78750000001</v>
      </c>
      <c r="T48" s="334">
        <f t="shared" si="8"/>
        <v>10596.078750000001</v>
      </c>
      <c r="U48" s="319"/>
      <c r="V48" s="386">
        <f t="shared" si="9"/>
        <v>0</v>
      </c>
      <c r="W48" s="319"/>
      <c r="X48" s="335">
        <f t="shared" si="10"/>
        <v>0</v>
      </c>
      <c r="Y48" s="381">
        <v>5</v>
      </c>
      <c r="Z48" s="334">
        <f t="shared" si="11"/>
        <v>2212.125</v>
      </c>
      <c r="AA48" s="319"/>
      <c r="AB48" s="334">
        <f t="shared" si="12"/>
        <v>0</v>
      </c>
      <c r="AC48" s="387"/>
      <c r="AD48" s="319"/>
      <c r="AE48" s="334">
        <f t="shared" si="13"/>
        <v>31788.236250000002</v>
      </c>
      <c r="AF48" s="319"/>
      <c r="AG48" s="335">
        <f t="shared" si="14"/>
        <v>0</v>
      </c>
      <c r="AH48" s="381"/>
      <c r="AI48" s="334"/>
      <c r="AJ48" s="334">
        <f t="shared" si="15"/>
        <v>37086.275625000002</v>
      </c>
      <c r="AK48" s="334"/>
      <c r="AL48" s="319"/>
      <c r="AM48" s="334">
        <f t="shared" si="16"/>
        <v>187643.50312500002</v>
      </c>
      <c r="AN48" s="334">
        <f t="shared" si="17"/>
        <v>2251722.0375000001</v>
      </c>
      <c r="AO48" s="221"/>
    </row>
    <row r="49" spans="1:41" s="2" customFormat="1" ht="19.5" customHeight="1">
      <c r="A49" s="381">
        <v>28</v>
      </c>
      <c r="B49" s="378" t="s">
        <v>531</v>
      </c>
      <c r="C49" s="378" t="s">
        <v>481</v>
      </c>
      <c r="D49" s="382" t="s">
        <v>37</v>
      </c>
      <c r="E49" s="383" t="s">
        <v>178</v>
      </c>
      <c r="F49" s="383">
        <v>11.11</v>
      </c>
      <c r="G49" s="384">
        <v>4.8600000000000003</v>
      </c>
      <c r="H49" s="334">
        <f t="shared" si="1"/>
        <v>172014.84000000003</v>
      </c>
      <c r="I49" s="319">
        <v>2</v>
      </c>
      <c r="J49" s="381">
        <v>17697</v>
      </c>
      <c r="K49" s="385">
        <f t="shared" si="2"/>
        <v>1.0625</v>
      </c>
      <c r="L49" s="339">
        <v>17</v>
      </c>
      <c r="M49" s="339">
        <f t="shared" si="3"/>
        <v>182765.76750000002</v>
      </c>
      <c r="N49" s="339">
        <v>0</v>
      </c>
      <c r="O49" s="339">
        <f t="shared" si="4"/>
        <v>0</v>
      </c>
      <c r="P49" s="339">
        <v>0</v>
      </c>
      <c r="Q49" s="334">
        <f t="shared" si="5"/>
        <v>0</v>
      </c>
      <c r="R49" s="334">
        <f t="shared" si="6"/>
        <v>45691.441875000004</v>
      </c>
      <c r="S49" s="334">
        <f t="shared" si="7"/>
        <v>228457.20937500003</v>
      </c>
      <c r="T49" s="334">
        <f t="shared" si="8"/>
        <v>22845.720937500006</v>
      </c>
      <c r="U49" s="319">
        <v>1</v>
      </c>
      <c r="V49" s="386">
        <f t="shared" si="9"/>
        <v>8848.5</v>
      </c>
      <c r="W49" s="319"/>
      <c r="X49" s="335">
        <f t="shared" si="10"/>
        <v>0</v>
      </c>
      <c r="Y49" s="381">
        <v>10</v>
      </c>
      <c r="Z49" s="334">
        <f t="shared" si="11"/>
        <v>4424.25</v>
      </c>
      <c r="AA49" s="319"/>
      <c r="AB49" s="334">
        <f t="shared" si="12"/>
        <v>0</v>
      </c>
      <c r="AC49" s="387"/>
      <c r="AD49" s="319"/>
      <c r="AE49" s="334">
        <f t="shared" si="13"/>
        <v>68537.162812500013</v>
      </c>
      <c r="AF49" s="319"/>
      <c r="AG49" s="335">
        <f t="shared" si="14"/>
        <v>0</v>
      </c>
      <c r="AH49" s="381"/>
      <c r="AI49" s="334"/>
      <c r="AJ49" s="334">
        <f t="shared" si="15"/>
        <v>79960.023281250003</v>
      </c>
      <c r="AK49" s="334"/>
      <c r="AL49" s="319"/>
      <c r="AM49" s="334">
        <f t="shared" si="16"/>
        <v>413072.86640625005</v>
      </c>
      <c r="AN49" s="334">
        <f t="shared" si="17"/>
        <v>4956874.3968750006</v>
      </c>
      <c r="AO49" s="221"/>
    </row>
    <row r="50" spans="1:41" s="2" customFormat="1" ht="19.5" customHeight="1">
      <c r="A50" s="381">
        <v>29</v>
      </c>
      <c r="B50" s="378" t="s">
        <v>532</v>
      </c>
      <c r="C50" s="378" t="s">
        <v>484</v>
      </c>
      <c r="D50" s="382" t="s">
        <v>37</v>
      </c>
      <c r="E50" s="383" t="s">
        <v>178</v>
      </c>
      <c r="F50" s="383">
        <v>25.6</v>
      </c>
      <c r="G50" s="388">
        <v>5.2</v>
      </c>
      <c r="H50" s="334">
        <f t="shared" si="1"/>
        <v>184048.80000000002</v>
      </c>
      <c r="I50" s="319">
        <v>2</v>
      </c>
      <c r="J50" s="381">
        <v>17697</v>
      </c>
      <c r="K50" s="385">
        <f t="shared" si="2"/>
        <v>1.5</v>
      </c>
      <c r="L50" s="339">
        <v>2</v>
      </c>
      <c r="M50" s="339">
        <f t="shared" si="3"/>
        <v>23006.100000000002</v>
      </c>
      <c r="N50" s="339">
        <v>13</v>
      </c>
      <c r="O50" s="339">
        <f t="shared" si="4"/>
        <v>149539.65000000002</v>
      </c>
      <c r="P50" s="339">
        <v>9</v>
      </c>
      <c r="Q50" s="334">
        <f t="shared" si="5"/>
        <v>103527.45000000001</v>
      </c>
      <c r="R50" s="334">
        <f t="shared" si="6"/>
        <v>69018.300000000017</v>
      </c>
      <c r="S50" s="334">
        <f t="shared" si="7"/>
        <v>345091.50000000012</v>
      </c>
      <c r="T50" s="334">
        <f t="shared" si="8"/>
        <v>34509.150000000016</v>
      </c>
      <c r="U50" s="319"/>
      <c r="V50" s="386">
        <f t="shared" si="9"/>
        <v>0</v>
      </c>
      <c r="W50" s="319">
        <v>0.5</v>
      </c>
      <c r="X50" s="335">
        <f t="shared" si="10"/>
        <v>5309.0999999999995</v>
      </c>
      <c r="Y50" s="381"/>
      <c r="Z50" s="334">
        <f t="shared" si="11"/>
        <v>0</v>
      </c>
      <c r="AA50" s="319">
        <v>12</v>
      </c>
      <c r="AB50" s="334">
        <f t="shared" si="12"/>
        <v>6636.375</v>
      </c>
      <c r="AC50" s="387"/>
      <c r="AD50" s="319"/>
      <c r="AE50" s="334">
        <f t="shared" si="13"/>
        <v>103527.45000000003</v>
      </c>
      <c r="AF50" s="319"/>
      <c r="AG50" s="335">
        <f t="shared" si="14"/>
        <v>0</v>
      </c>
      <c r="AH50" s="381"/>
      <c r="AI50" s="334"/>
      <c r="AJ50" s="334">
        <f t="shared" si="15"/>
        <v>120782.02500000004</v>
      </c>
      <c r="AK50" s="334"/>
      <c r="AL50" s="319"/>
      <c r="AM50" s="334">
        <f t="shared" si="16"/>
        <v>615855.60000000021</v>
      </c>
      <c r="AN50" s="334">
        <f t="shared" si="17"/>
        <v>7390267.200000003</v>
      </c>
      <c r="AO50" s="221"/>
    </row>
    <row r="51" spans="1:41" s="2" customFormat="1" ht="19.5" customHeight="1">
      <c r="A51" s="381">
        <v>30</v>
      </c>
      <c r="B51" s="378" t="s">
        <v>533</v>
      </c>
      <c r="C51" s="378" t="s">
        <v>484</v>
      </c>
      <c r="D51" s="382" t="s">
        <v>37</v>
      </c>
      <c r="E51" s="383" t="s">
        <v>177</v>
      </c>
      <c r="F51" s="383">
        <v>6.11</v>
      </c>
      <c r="G51" s="384">
        <v>4.66</v>
      </c>
      <c r="H51" s="334">
        <f t="shared" si="1"/>
        <v>164936.04</v>
      </c>
      <c r="I51" s="319">
        <v>2</v>
      </c>
      <c r="J51" s="381">
        <v>17697</v>
      </c>
      <c r="K51" s="385">
        <f t="shared" si="2"/>
        <v>1.3125</v>
      </c>
      <c r="L51" s="339">
        <v>8</v>
      </c>
      <c r="M51" s="339">
        <f t="shared" si="3"/>
        <v>82468.02</v>
      </c>
      <c r="N51" s="339">
        <v>13</v>
      </c>
      <c r="O51" s="339">
        <f t="shared" si="4"/>
        <v>134010.5325</v>
      </c>
      <c r="P51" s="339">
        <v>0</v>
      </c>
      <c r="Q51" s="334">
        <f t="shared" si="5"/>
        <v>0</v>
      </c>
      <c r="R51" s="334">
        <f t="shared" si="6"/>
        <v>54119.638124999998</v>
      </c>
      <c r="S51" s="334">
        <f t="shared" si="7"/>
        <v>270598.19062499999</v>
      </c>
      <c r="T51" s="334">
        <f t="shared" si="8"/>
        <v>27059.819062499999</v>
      </c>
      <c r="U51" s="319"/>
      <c r="V51" s="386">
        <f t="shared" si="9"/>
        <v>0</v>
      </c>
      <c r="W51" s="319"/>
      <c r="X51" s="335">
        <f t="shared" si="10"/>
        <v>0</v>
      </c>
      <c r="Y51" s="381"/>
      <c r="Z51" s="334">
        <f t="shared" si="11"/>
        <v>0</v>
      </c>
      <c r="AA51" s="319">
        <v>12</v>
      </c>
      <c r="AB51" s="334">
        <f t="shared" si="12"/>
        <v>6636.375</v>
      </c>
      <c r="AC51" s="387"/>
      <c r="AD51" s="319"/>
      <c r="AE51" s="334">
        <f t="shared" si="13"/>
        <v>81179.457187499997</v>
      </c>
      <c r="AF51" s="319"/>
      <c r="AG51" s="335">
        <f t="shared" si="14"/>
        <v>0</v>
      </c>
      <c r="AH51" s="381"/>
      <c r="AI51" s="334">
        <f t="shared" si="19"/>
        <v>81179.457187499997</v>
      </c>
      <c r="AJ51" s="334"/>
      <c r="AK51" s="334"/>
      <c r="AL51" s="319"/>
      <c r="AM51" s="334">
        <f t="shared" si="16"/>
        <v>466653.29906249989</v>
      </c>
      <c r="AN51" s="334">
        <f t="shared" si="17"/>
        <v>5599839.5887499992</v>
      </c>
      <c r="AO51" s="221"/>
    </row>
    <row r="52" spans="1:41" s="2" customFormat="1" ht="19.5" customHeight="1">
      <c r="A52" s="381">
        <v>31</v>
      </c>
      <c r="B52" s="378" t="s">
        <v>535</v>
      </c>
      <c r="C52" s="378" t="s">
        <v>486</v>
      </c>
      <c r="D52" s="382" t="s">
        <v>37</v>
      </c>
      <c r="E52" s="383" t="s">
        <v>178</v>
      </c>
      <c r="F52" s="383">
        <v>34</v>
      </c>
      <c r="G52" s="388">
        <v>5.2</v>
      </c>
      <c r="H52" s="334">
        <f t="shared" si="1"/>
        <v>184048.80000000002</v>
      </c>
      <c r="I52" s="319">
        <v>2</v>
      </c>
      <c r="J52" s="381">
        <v>17697</v>
      </c>
      <c r="K52" s="385">
        <f t="shared" si="2"/>
        <v>1.4375</v>
      </c>
      <c r="L52" s="339">
        <v>0</v>
      </c>
      <c r="M52" s="339">
        <f t="shared" si="3"/>
        <v>0</v>
      </c>
      <c r="N52" s="339">
        <v>14</v>
      </c>
      <c r="O52" s="339">
        <f t="shared" si="4"/>
        <v>161042.70000000001</v>
      </c>
      <c r="P52" s="339">
        <v>9</v>
      </c>
      <c r="Q52" s="334">
        <f t="shared" si="5"/>
        <v>103527.45000000001</v>
      </c>
      <c r="R52" s="334">
        <f t="shared" si="6"/>
        <v>66142.537500000006</v>
      </c>
      <c r="S52" s="334">
        <f t="shared" si="7"/>
        <v>330712.6875</v>
      </c>
      <c r="T52" s="334">
        <f t="shared" si="8"/>
        <v>33071.268750000003</v>
      </c>
      <c r="U52" s="319"/>
      <c r="V52" s="386">
        <f t="shared" si="9"/>
        <v>0</v>
      </c>
      <c r="W52" s="319"/>
      <c r="X52" s="335">
        <f t="shared" si="10"/>
        <v>0</v>
      </c>
      <c r="Y52" s="381">
        <v>23</v>
      </c>
      <c r="Z52" s="334">
        <f t="shared" si="11"/>
        <v>10175.775</v>
      </c>
      <c r="AA52" s="319"/>
      <c r="AB52" s="334">
        <f t="shared" si="12"/>
        <v>0</v>
      </c>
      <c r="AC52" s="380"/>
      <c r="AD52" s="319"/>
      <c r="AE52" s="334">
        <f t="shared" si="13"/>
        <v>99213.806249999994</v>
      </c>
      <c r="AF52" s="319"/>
      <c r="AG52" s="335">
        <f t="shared" si="14"/>
        <v>0</v>
      </c>
      <c r="AH52" s="381">
        <v>3539</v>
      </c>
      <c r="AI52" s="334"/>
      <c r="AJ52" s="334">
        <f>S52*35%</f>
        <v>115749.44062499999</v>
      </c>
      <c r="AK52" s="334"/>
      <c r="AL52" s="319"/>
      <c r="AM52" s="334">
        <f t="shared" si="16"/>
        <v>592461.97812499991</v>
      </c>
      <c r="AN52" s="334">
        <f t="shared" si="17"/>
        <v>7109543.7374999989</v>
      </c>
      <c r="AO52" s="221"/>
    </row>
    <row r="53" spans="1:41" s="2" customFormat="1" ht="19.5" customHeight="1">
      <c r="A53" s="381">
        <v>32</v>
      </c>
      <c r="B53" s="379" t="s">
        <v>539</v>
      </c>
      <c r="C53" s="379" t="s">
        <v>481</v>
      </c>
      <c r="D53" s="382" t="s">
        <v>37</v>
      </c>
      <c r="E53" s="383" t="s">
        <v>178</v>
      </c>
      <c r="F53" s="391">
        <v>10</v>
      </c>
      <c r="G53" s="384">
        <v>4.8600000000000003</v>
      </c>
      <c r="H53" s="334">
        <f t="shared" si="1"/>
        <v>172014.84000000003</v>
      </c>
      <c r="I53" s="319">
        <v>2</v>
      </c>
      <c r="J53" s="381">
        <v>17697</v>
      </c>
      <c r="K53" s="385">
        <f t="shared" si="2"/>
        <v>1.0625</v>
      </c>
      <c r="L53" s="339">
        <v>17</v>
      </c>
      <c r="M53" s="339">
        <f t="shared" si="3"/>
        <v>182765.76750000002</v>
      </c>
      <c r="N53" s="339">
        <v>0</v>
      </c>
      <c r="O53" s="339">
        <f t="shared" si="4"/>
        <v>0</v>
      </c>
      <c r="P53" s="339">
        <v>0</v>
      </c>
      <c r="Q53" s="334">
        <f t="shared" si="5"/>
        <v>0</v>
      </c>
      <c r="R53" s="334">
        <f t="shared" si="6"/>
        <v>45691.441875000004</v>
      </c>
      <c r="S53" s="334">
        <f t="shared" si="7"/>
        <v>228457.20937500003</v>
      </c>
      <c r="T53" s="334">
        <f t="shared" si="8"/>
        <v>22845.720937500006</v>
      </c>
      <c r="U53" s="319">
        <v>1</v>
      </c>
      <c r="V53" s="386">
        <f t="shared" si="9"/>
        <v>8848.5</v>
      </c>
      <c r="W53" s="319"/>
      <c r="X53" s="335">
        <f t="shared" si="10"/>
        <v>0</v>
      </c>
      <c r="Y53" s="381">
        <v>10</v>
      </c>
      <c r="Z53" s="334">
        <f t="shared" si="11"/>
        <v>4424.25</v>
      </c>
      <c r="AA53" s="319"/>
      <c r="AB53" s="334">
        <f t="shared" si="12"/>
        <v>0</v>
      </c>
      <c r="AC53" s="380"/>
      <c r="AD53" s="319"/>
      <c r="AE53" s="334">
        <f t="shared" si="13"/>
        <v>68537.162812500013</v>
      </c>
      <c r="AF53" s="319"/>
      <c r="AG53" s="335">
        <f t="shared" si="14"/>
        <v>0</v>
      </c>
      <c r="AH53" s="381"/>
      <c r="AI53" s="334"/>
      <c r="AJ53" s="334">
        <f t="shared" si="15"/>
        <v>79960.023281250003</v>
      </c>
      <c r="AK53" s="334"/>
      <c r="AL53" s="319"/>
      <c r="AM53" s="334">
        <f t="shared" si="16"/>
        <v>413072.86640625005</v>
      </c>
      <c r="AN53" s="334">
        <f t="shared" si="17"/>
        <v>4956874.3968750006</v>
      </c>
      <c r="AO53" s="221"/>
    </row>
    <row r="54" spans="1:41" s="2" customFormat="1" ht="19.5" customHeight="1">
      <c r="A54" s="381">
        <v>33</v>
      </c>
      <c r="B54" s="379" t="s">
        <v>534</v>
      </c>
      <c r="C54" s="378" t="s">
        <v>481</v>
      </c>
      <c r="D54" s="382" t="s">
        <v>37</v>
      </c>
      <c r="E54" s="383" t="s">
        <v>174</v>
      </c>
      <c r="F54" s="383">
        <v>22.11</v>
      </c>
      <c r="G54" s="384">
        <v>5.32</v>
      </c>
      <c r="H54" s="334">
        <f t="shared" si="1"/>
        <v>188296.08000000002</v>
      </c>
      <c r="I54" s="319">
        <v>2</v>
      </c>
      <c r="J54" s="381">
        <v>17697</v>
      </c>
      <c r="K54" s="385">
        <f t="shared" si="2"/>
        <v>0.3125</v>
      </c>
      <c r="L54" s="339">
        <v>5</v>
      </c>
      <c r="M54" s="339">
        <f t="shared" si="3"/>
        <v>58842.525000000009</v>
      </c>
      <c r="N54" s="339">
        <v>0</v>
      </c>
      <c r="O54" s="339">
        <f t="shared" si="4"/>
        <v>0</v>
      </c>
      <c r="P54" s="339">
        <v>0</v>
      </c>
      <c r="Q54" s="334">
        <f t="shared" si="5"/>
        <v>0</v>
      </c>
      <c r="R54" s="334">
        <f t="shared" si="6"/>
        <v>14710.631250000002</v>
      </c>
      <c r="S54" s="334">
        <f t="shared" si="7"/>
        <v>73553.156250000015</v>
      </c>
      <c r="T54" s="334">
        <f t="shared" si="8"/>
        <v>7355.315625000002</v>
      </c>
      <c r="U54" s="319"/>
      <c r="V54" s="386">
        <f t="shared" si="9"/>
        <v>0</v>
      </c>
      <c r="W54" s="319"/>
      <c r="X54" s="335">
        <f t="shared" si="10"/>
        <v>0</v>
      </c>
      <c r="Y54" s="381"/>
      <c r="Z54" s="334">
        <f t="shared" si="11"/>
        <v>0</v>
      </c>
      <c r="AA54" s="319"/>
      <c r="AB54" s="334">
        <f t="shared" si="12"/>
        <v>0</v>
      </c>
      <c r="AC54" s="387"/>
      <c r="AD54" s="319"/>
      <c r="AE54" s="334">
        <f t="shared" si="13"/>
        <v>22065.946875000005</v>
      </c>
      <c r="AF54" s="319"/>
      <c r="AG54" s="335">
        <f t="shared" si="14"/>
        <v>0</v>
      </c>
      <c r="AH54" s="381"/>
      <c r="AI54" s="334"/>
      <c r="AJ54" s="334"/>
      <c r="AK54" s="334">
        <f t="shared" si="18"/>
        <v>29421.262500000008</v>
      </c>
      <c r="AL54" s="319"/>
      <c r="AM54" s="334">
        <f t="shared" si="16"/>
        <v>132395.68125000002</v>
      </c>
      <c r="AN54" s="334">
        <f t="shared" si="17"/>
        <v>1588748.1750000003</v>
      </c>
      <c r="AO54" s="221"/>
    </row>
    <row r="55" spans="1:41" s="2" customFormat="1" ht="18" customHeight="1">
      <c r="A55" s="381">
        <v>34</v>
      </c>
      <c r="B55" s="378" t="s">
        <v>536</v>
      </c>
      <c r="C55" s="378" t="s">
        <v>619</v>
      </c>
      <c r="D55" s="382" t="s">
        <v>37</v>
      </c>
      <c r="E55" s="383" t="s">
        <v>178</v>
      </c>
      <c r="F55" s="383">
        <v>13.6</v>
      </c>
      <c r="G55" s="384">
        <v>4.95</v>
      </c>
      <c r="H55" s="334">
        <f t="shared" si="1"/>
        <v>175200.30000000002</v>
      </c>
      <c r="I55" s="319">
        <v>2</v>
      </c>
      <c r="J55" s="381">
        <v>17697</v>
      </c>
      <c r="K55" s="385">
        <f t="shared" si="2"/>
        <v>1</v>
      </c>
      <c r="L55" s="339">
        <v>0</v>
      </c>
      <c r="M55" s="339">
        <f t="shared" si="3"/>
        <v>0</v>
      </c>
      <c r="N55" s="339">
        <v>14</v>
      </c>
      <c r="O55" s="339">
        <f t="shared" si="4"/>
        <v>153300.26250000001</v>
      </c>
      <c r="P55" s="339">
        <v>2</v>
      </c>
      <c r="Q55" s="334">
        <f t="shared" si="5"/>
        <v>21900.037500000002</v>
      </c>
      <c r="R55" s="334">
        <f t="shared" si="6"/>
        <v>43800.075000000004</v>
      </c>
      <c r="S55" s="334">
        <f t="shared" si="7"/>
        <v>219000.37500000003</v>
      </c>
      <c r="T55" s="334">
        <f t="shared" si="8"/>
        <v>21900.037500000006</v>
      </c>
      <c r="U55" s="319"/>
      <c r="V55" s="386">
        <f t="shared" si="9"/>
        <v>0</v>
      </c>
      <c r="W55" s="319"/>
      <c r="X55" s="335">
        <f t="shared" si="10"/>
        <v>0</v>
      </c>
      <c r="Y55" s="381"/>
      <c r="Z55" s="334">
        <f t="shared" si="11"/>
        <v>0</v>
      </c>
      <c r="AA55" s="319"/>
      <c r="AB55" s="334">
        <f t="shared" si="12"/>
        <v>0</v>
      </c>
      <c r="AC55" s="380"/>
      <c r="AD55" s="319"/>
      <c r="AE55" s="334">
        <f t="shared" si="13"/>
        <v>65700.112500000003</v>
      </c>
      <c r="AF55" s="319"/>
      <c r="AG55" s="335">
        <f t="shared" si="14"/>
        <v>0</v>
      </c>
      <c r="AH55" s="381"/>
      <c r="AI55" s="334"/>
      <c r="AJ55" s="334">
        <f t="shared" si="15"/>
        <v>76650.131250000006</v>
      </c>
      <c r="AK55" s="334"/>
      <c r="AL55" s="319"/>
      <c r="AM55" s="334">
        <f t="shared" si="16"/>
        <v>383250.65625</v>
      </c>
      <c r="AN55" s="334">
        <f t="shared" si="17"/>
        <v>4599007.875</v>
      </c>
      <c r="AO55" s="221"/>
    </row>
    <row r="56" spans="1:41" s="2" customFormat="1" ht="19.5" customHeight="1">
      <c r="A56" s="381">
        <v>35</v>
      </c>
      <c r="B56" s="378" t="s">
        <v>537</v>
      </c>
      <c r="C56" s="378" t="s">
        <v>487</v>
      </c>
      <c r="D56" s="382" t="s">
        <v>37</v>
      </c>
      <c r="E56" s="383" t="s">
        <v>178</v>
      </c>
      <c r="F56" s="383">
        <v>23.7</v>
      </c>
      <c r="G56" s="384">
        <v>5.12</v>
      </c>
      <c r="H56" s="334">
        <f t="shared" si="1"/>
        <v>181217.28</v>
      </c>
      <c r="I56" s="319">
        <v>2</v>
      </c>
      <c r="J56" s="381">
        <v>17697</v>
      </c>
      <c r="K56" s="385">
        <f t="shared" si="2"/>
        <v>1.5</v>
      </c>
      <c r="L56" s="339">
        <v>0</v>
      </c>
      <c r="M56" s="339">
        <f t="shared" si="3"/>
        <v>0</v>
      </c>
      <c r="N56" s="339">
        <v>18</v>
      </c>
      <c r="O56" s="339">
        <f t="shared" si="4"/>
        <v>203869.44</v>
      </c>
      <c r="P56" s="339">
        <v>6</v>
      </c>
      <c r="Q56" s="334">
        <f t="shared" si="5"/>
        <v>67956.479999999996</v>
      </c>
      <c r="R56" s="334">
        <f t="shared" si="6"/>
        <v>67956.479999999996</v>
      </c>
      <c r="S56" s="334">
        <f t="shared" si="7"/>
        <v>339782.39999999997</v>
      </c>
      <c r="T56" s="334">
        <f t="shared" si="8"/>
        <v>33978.239999999998</v>
      </c>
      <c r="U56" s="319"/>
      <c r="V56" s="386">
        <f t="shared" si="9"/>
        <v>0</v>
      </c>
      <c r="W56" s="319"/>
      <c r="X56" s="335">
        <f t="shared" si="10"/>
        <v>0</v>
      </c>
      <c r="Y56" s="381">
        <v>21</v>
      </c>
      <c r="Z56" s="334">
        <f t="shared" si="11"/>
        <v>9290.9250000000011</v>
      </c>
      <c r="AA56" s="319"/>
      <c r="AB56" s="334">
        <f t="shared" si="12"/>
        <v>0</v>
      </c>
      <c r="AC56" s="380"/>
      <c r="AD56" s="319"/>
      <c r="AE56" s="334">
        <f t="shared" si="13"/>
        <v>101934.71999999999</v>
      </c>
      <c r="AF56" s="319"/>
      <c r="AG56" s="335">
        <f t="shared" si="14"/>
        <v>0</v>
      </c>
      <c r="AH56" s="381"/>
      <c r="AI56" s="334"/>
      <c r="AJ56" s="334">
        <f t="shared" si="15"/>
        <v>118923.83999999998</v>
      </c>
      <c r="AK56" s="334"/>
      <c r="AL56" s="319"/>
      <c r="AM56" s="334">
        <f t="shared" si="16"/>
        <v>603910.12499999988</v>
      </c>
      <c r="AN56" s="334">
        <f t="shared" si="17"/>
        <v>7246921.4999999981</v>
      </c>
      <c r="AO56" s="221"/>
    </row>
    <row r="57" spans="1:41" s="2" customFormat="1" ht="19.5" customHeight="1">
      <c r="A57" s="381">
        <v>36</v>
      </c>
      <c r="B57" s="379" t="s">
        <v>538</v>
      </c>
      <c r="C57" s="378" t="s">
        <v>574</v>
      </c>
      <c r="D57" s="382" t="s">
        <v>37</v>
      </c>
      <c r="E57" s="383" t="s">
        <v>178</v>
      </c>
      <c r="F57" s="383">
        <v>26.7</v>
      </c>
      <c r="G57" s="388">
        <v>5.2</v>
      </c>
      <c r="H57" s="334">
        <f t="shared" si="1"/>
        <v>184048.80000000002</v>
      </c>
      <c r="I57" s="319">
        <v>2</v>
      </c>
      <c r="J57" s="381">
        <v>17697</v>
      </c>
      <c r="K57" s="385">
        <f t="shared" si="2"/>
        <v>1.3125</v>
      </c>
      <c r="L57" s="339">
        <v>6</v>
      </c>
      <c r="M57" s="339">
        <f t="shared" si="3"/>
        <v>69018.3</v>
      </c>
      <c r="N57" s="339">
        <v>15</v>
      </c>
      <c r="O57" s="339">
        <f t="shared" si="4"/>
        <v>172545.75000000003</v>
      </c>
      <c r="P57" s="339">
        <v>0</v>
      </c>
      <c r="Q57" s="334">
        <f t="shared" si="5"/>
        <v>0</v>
      </c>
      <c r="R57" s="334">
        <f t="shared" si="6"/>
        <v>60391.012500000012</v>
      </c>
      <c r="S57" s="334">
        <f t="shared" si="7"/>
        <v>301955.06250000006</v>
      </c>
      <c r="T57" s="334">
        <f t="shared" si="8"/>
        <v>30195.506250000006</v>
      </c>
      <c r="U57" s="319"/>
      <c r="V57" s="386">
        <f t="shared" si="9"/>
        <v>0</v>
      </c>
      <c r="W57" s="319">
        <v>1</v>
      </c>
      <c r="X57" s="335">
        <f t="shared" si="10"/>
        <v>10618.199999999999</v>
      </c>
      <c r="Y57" s="381"/>
      <c r="Z57" s="334">
        <f t="shared" si="11"/>
        <v>0</v>
      </c>
      <c r="AA57" s="319">
        <v>7</v>
      </c>
      <c r="AB57" s="334">
        <f t="shared" si="12"/>
        <v>3871.21875</v>
      </c>
      <c r="AC57" s="380">
        <v>34500</v>
      </c>
      <c r="AD57" s="319"/>
      <c r="AE57" s="334">
        <f t="shared" si="13"/>
        <v>90586.518750000017</v>
      </c>
      <c r="AF57" s="319"/>
      <c r="AG57" s="335">
        <f t="shared" si="14"/>
        <v>0</v>
      </c>
      <c r="AH57" s="381"/>
      <c r="AI57" s="334"/>
      <c r="AJ57" s="334">
        <f t="shared" si="15"/>
        <v>105684.27187500002</v>
      </c>
      <c r="AK57" s="334"/>
      <c r="AL57" s="319"/>
      <c r="AM57" s="334">
        <f t="shared" si="16"/>
        <v>577410.77812500007</v>
      </c>
      <c r="AN57" s="334">
        <f t="shared" si="17"/>
        <v>6928929.3375000004</v>
      </c>
      <c r="AO57" s="221"/>
    </row>
    <row r="58" spans="1:41" s="2" customFormat="1" ht="19.5" customHeight="1">
      <c r="A58" s="381">
        <v>37</v>
      </c>
      <c r="B58" s="378" t="s">
        <v>540</v>
      </c>
      <c r="C58" s="378" t="s">
        <v>485</v>
      </c>
      <c r="D58" s="382" t="s">
        <v>37</v>
      </c>
      <c r="E58" s="383" t="s">
        <v>177</v>
      </c>
      <c r="F58" s="383">
        <v>6.8</v>
      </c>
      <c r="G58" s="384">
        <v>4.66</v>
      </c>
      <c r="H58" s="334">
        <f t="shared" si="1"/>
        <v>164936.04</v>
      </c>
      <c r="I58" s="319">
        <v>2</v>
      </c>
      <c r="J58" s="381">
        <v>17697</v>
      </c>
      <c r="K58" s="385">
        <f t="shared" si="2"/>
        <v>1.375</v>
      </c>
      <c r="L58" s="339">
        <v>0</v>
      </c>
      <c r="M58" s="339">
        <f t="shared" si="3"/>
        <v>0</v>
      </c>
      <c r="N58" s="339">
        <v>19</v>
      </c>
      <c r="O58" s="339">
        <f t="shared" si="4"/>
        <v>195861.54750000002</v>
      </c>
      <c r="P58" s="339">
        <v>3</v>
      </c>
      <c r="Q58" s="334">
        <f t="shared" si="5"/>
        <v>30925.5075</v>
      </c>
      <c r="R58" s="334">
        <f t="shared" si="6"/>
        <v>56696.763750000006</v>
      </c>
      <c r="S58" s="334">
        <f t="shared" si="7"/>
        <v>283483.81875000003</v>
      </c>
      <c r="T58" s="334">
        <f t="shared" si="8"/>
        <v>28348.381875000006</v>
      </c>
      <c r="U58" s="319"/>
      <c r="V58" s="386">
        <f t="shared" si="9"/>
        <v>0</v>
      </c>
      <c r="W58" s="319">
        <v>1</v>
      </c>
      <c r="X58" s="335">
        <f t="shared" si="10"/>
        <v>10618.199999999999</v>
      </c>
      <c r="Y58" s="381"/>
      <c r="Z58" s="334">
        <f t="shared" si="11"/>
        <v>0</v>
      </c>
      <c r="AA58" s="319"/>
      <c r="AB58" s="334">
        <f t="shared" si="12"/>
        <v>0</v>
      </c>
      <c r="AC58" s="322"/>
      <c r="AD58" s="319"/>
      <c r="AE58" s="334">
        <f t="shared" si="13"/>
        <v>85045.145625000005</v>
      </c>
      <c r="AF58" s="319"/>
      <c r="AG58" s="335">
        <f t="shared" si="14"/>
        <v>0</v>
      </c>
      <c r="AH58" s="381"/>
      <c r="AI58" s="334">
        <f t="shared" si="19"/>
        <v>85045.145625000005</v>
      </c>
      <c r="AJ58" s="334"/>
      <c r="AK58" s="334"/>
      <c r="AL58" s="319"/>
      <c r="AM58" s="334">
        <f t="shared" si="16"/>
        <v>492540.69187500008</v>
      </c>
      <c r="AN58" s="334">
        <f t="shared" si="17"/>
        <v>5910488.3025000012</v>
      </c>
      <c r="AO58" s="221"/>
    </row>
    <row r="59" spans="1:41" s="2" customFormat="1" ht="19.5" customHeight="1">
      <c r="A59" s="381">
        <v>38</v>
      </c>
      <c r="B59" s="378" t="s">
        <v>541</v>
      </c>
      <c r="C59" s="378" t="s">
        <v>573</v>
      </c>
      <c r="D59" s="382" t="s">
        <v>37</v>
      </c>
      <c r="E59" s="383" t="s">
        <v>178</v>
      </c>
      <c r="F59" s="383">
        <v>24.11</v>
      </c>
      <c r="G59" s="384">
        <v>5.12</v>
      </c>
      <c r="H59" s="334">
        <f t="shared" si="1"/>
        <v>181217.28</v>
      </c>
      <c r="I59" s="319">
        <v>2</v>
      </c>
      <c r="J59" s="381">
        <v>17697</v>
      </c>
      <c r="K59" s="385">
        <f t="shared" si="2"/>
        <v>1</v>
      </c>
      <c r="L59" s="339"/>
      <c r="M59" s="339">
        <f t="shared" si="3"/>
        <v>0</v>
      </c>
      <c r="N59" s="339">
        <v>12</v>
      </c>
      <c r="O59" s="339">
        <f t="shared" si="4"/>
        <v>135912.95999999999</v>
      </c>
      <c r="P59" s="339">
        <v>4</v>
      </c>
      <c r="Q59" s="334">
        <f t="shared" si="5"/>
        <v>45304.32</v>
      </c>
      <c r="R59" s="334">
        <f t="shared" si="6"/>
        <v>45304.32</v>
      </c>
      <c r="S59" s="334">
        <f t="shared" si="7"/>
        <v>226521.60000000001</v>
      </c>
      <c r="T59" s="334">
        <f t="shared" si="8"/>
        <v>22652.160000000003</v>
      </c>
      <c r="U59" s="319"/>
      <c r="V59" s="386">
        <f t="shared" si="9"/>
        <v>0</v>
      </c>
      <c r="W59" s="319"/>
      <c r="X59" s="335">
        <f t="shared" si="10"/>
        <v>0</v>
      </c>
      <c r="Y59" s="381"/>
      <c r="Z59" s="334">
        <f t="shared" si="11"/>
        <v>0</v>
      </c>
      <c r="AA59" s="319"/>
      <c r="AB59" s="334">
        <f t="shared" si="12"/>
        <v>0</v>
      </c>
      <c r="AC59" s="322"/>
      <c r="AD59" s="319"/>
      <c r="AE59" s="334">
        <f t="shared" si="13"/>
        <v>67956.479999999996</v>
      </c>
      <c r="AF59" s="319"/>
      <c r="AG59" s="335">
        <f t="shared" si="14"/>
        <v>0</v>
      </c>
      <c r="AH59" s="381"/>
      <c r="AI59" s="334"/>
      <c r="AJ59" s="334">
        <f t="shared" si="15"/>
        <v>79282.559999999998</v>
      </c>
      <c r="AK59" s="334"/>
      <c r="AL59" s="319"/>
      <c r="AM59" s="334">
        <f t="shared" si="16"/>
        <v>396412.8</v>
      </c>
      <c r="AN59" s="334">
        <f t="shared" si="17"/>
        <v>4756953.5999999996</v>
      </c>
      <c r="AO59" s="221"/>
    </row>
    <row r="60" spans="1:41" s="2" customFormat="1" ht="19.5" customHeight="1">
      <c r="A60" s="381">
        <v>39</v>
      </c>
      <c r="B60" s="378" t="s">
        <v>542</v>
      </c>
      <c r="C60" s="378" t="s">
        <v>482</v>
      </c>
      <c r="D60" s="382" t="s">
        <v>37</v>
      </c>
      <c r="E60" s="383" t="s">
        <v>178</v>
      </c>
      <c r="F60" s="384">
        <v>25.1</v>
      </c>
      <c r="G60" s="388">
        <v>5.2</v>
      </c>
      <c r="H60" s="334">
        <f t="shared" si="1"/>
        <v>184048.80000000002</v>
      </c>
      <c r="I60" s="319">
        <v>2</v>
      </c>
      <c r="J60" s="381">
        <v>17697</v>
      </c>
      <c r="K60" s="385">
        <f t="shared" si="2"/>
        <v>1.1875</v>
      </c>
      <c r="L60" s="339">
        <v>0</v>
      </c>
      <c r="M60" s="339">
        <f t="shared" si="3"/>
        <v>0</v>
      </c>
      <c r="N60" s="339">
        <v>16</v>
      </c>
      <c r="O60" s="339">
        <f t="shared" si="4"/>
        <v>184048.80000000002</v>
      </c>
      <c r="P60" s="339">
        <v>3</v>
      </c>
      <c r="Q60" s="334">
        <f t="shared" si="5"/>
        <v>34509.15</v>
      </c>
      <c r="R60" s="334">
        <f t="shared" si="6"/>
        <v>54639.487500000003</v>
      </c>
      <c r="S60" s="334">
        <f t="shared" si="7"/>
        <v>273197.4375</v>
      </c>
      <c r="T60" s="334">
        <f t="shared" si="8"/>
        <v>27319.743750000001</v>
      </c>
      <c r="U60" s="319"/>
      <c r="V60" s="386">
        <f t="shared" si="9"/>
        <v>0</v>
      </c>
      <c r="W60" s="319"/>
      <c r="X60" s="335">
        <f t="shared" si="10"/>
        <v>0</v>
      </c>
      <c r="Y60" s="381">
        <v>16</v>
      </c>
      <c r="Z60" s="334">
        <f t="shared" si="11"/>
        <v>7078.8</v>
      </c>
      <c r="AA60" s="319"/>
      <c r="AB60" s="334">
        <f t="shared" si="12"/>
        <v>0</v>
      </c>
      <c r="AC60" s="322"/>
      <c r="AD60" s="319">
        <v>17697</v>
      </c>
      <c r="AE60" s="334">
        <f t="shared" si="13"/>
        <v>81959.231249999997</v>
      </c>
      <c r="AF60" s="319"/>
      <c r="AG60" s="335">
        <f t="shared" si="14"/>
        <v>0</v>
      </c>
      <c r="AH60" s="381">
        <v>3539</v>
      </c>
      <c r="AI60" s="334"/>
      <c r="AJ60" s="334">
        <f t="shared" si="15"/>
        <v>95619.103124999994</v>
      </c>
      <c r="AK60" s="334"/>
      <c r="AL60" s="319"/>
      <c r="AM60" s="334">
        <f t="shared" si="16"/>
        <v>506410.31562500005</v>
      </c>
      <c r="AN60" s="334">
        <f t="shared" si="17"/>
        <v>6076923.7875000006</v>
      </c>
      <c r="AO60" s="221"/>
    </row>
    <row r="61" spans="1:41" s="2" customFormat="1" ht="19.5" customHeight="1">
      <c r="A61" s="381">
        <v>40</v>
      </c>
      <c r="B61" s="378" t="s">
        <v>543</v>
      </c>
      <c r="C61" s="378" t="s">
        <v>574</v>
      </c>
      <c r="D61" s="382" t="s">
        <v>37</v>
      </c>
      <c r="E61" s="383" t="s">
        <v>177</v>
      </c>
      <c r="F61" s="388">
        <v>11.6</v>
      </c>
      <c r="G61" s="384">
        <v>4.8099999999999996</v>
      </c>
      <c r="H61" s="334">
        <f t="shared" si="1"/>
        <v>170245.13999999998</v>
      </c>
      <c r="I61" s="319">
        <v>2</v>
      </c>
      <c r="J61" s="381">
        <v>17697</v>
      </c>
      <c r="K61" s="385">
        <f t="shared" si="2"/>
        <v>1.1875</v>
      </c>
      <c r="L61" s="339">
        <v>0</v>
      </c>
      <c r="M61" s="339">
        <f t="shared" si="3"/>
        <v>0</v>
      </c>
      <c r="N61" s="339">
        <v>19</v>
      </c>
      <c r="O61" s="339">
        <f t="shared" si="4"/>
        <v>202166.10374999998</v>
      </c>
      <c r="P61" s="339">
        <v>0</v>
      </c>
      <c r="Q61" s="334">
        <f t="shared" si="5"/>
        <v>0</v>
      </c>
      <c r="R61" s="334">
        <f t="shared" si="6"/>
        <v>50541.525937499995</v>
      </c>
      <c r="S61" s="334">
        <f t="shared" si="7"/>
        <v>252707.62968749998</v>
      </c>
      <c r="T61" s="334">
        <f t="shared" si="8"/>
        <v>25270.762968750001</v>
      </c>
      <c r="U61" s="319"/>
      <c r="V61" s="386">
        <f t="shared" si="9"/>
        <v>0</v>
      </c>
      <c r="W61" s="319">
        <v>1</v>
      </c>
      <c r="X61" s="335">
        <f t="shared" si="10"/>
        <v>10618.199999999999</v>
      </c>
      <c r="Y61" s="381"/>
      <c r="Z61" s="334">
        <f t="shared" si="11"/>
        <v>0</v>
      </c>
      <c r="AA61" s="319">
        <v>9</v>
      </c>
      <c r="AB61" s="334">
        <f t="shared" si="12"/>
        <v>4977.28125</v>
      </c>
      <c r="AC61" s="322"/>
      <c r="AD61" s="319"/>
      <c r="AE61" s="334">
        <f t="shared" si="13"/>
        <v>75812.288906249989</v>
      </c>
      <c r="AF61" s="319"/>
      <c r="AG61" s="335">
        <f t="shared" si="14"/>
        <v>0</v>
      </c>
      <c r="AH61" s="381"/>
      <c r="AI61" s="334">
        <f t="shared" si="19"/>
        <v>75812.288906249989</v>
      </c>
      <c r="AJ61" s="334"/>
      <c r="AK61" s="334"/>
      <c r="AL61" s="319"/>
      <c r="AM61" s="334">
        <f t="shared" si="16"/>
        <v>445198.45171874994</v>
      </c>
      <c r="AN61" s="334">
        <f t="shared" si="17"/>
        <v>5342381.4206249993</v>
      </c>
      <c r="AO61" s="221"/>
    </row>
    <row r="62" spans="1:41" s="2" customFormat="1" ht="19.5" customHeight="1">
      <c r="A62" s="381">
        <v>41</v>
      </c>
      <c r="B62" s="378" t="s">
        <v>545</v>
      </c>
      <c r="C62" s="378" t="s">
        <v>481</v>
      </c>
      <c r="D62" s="382" t="s">
        <v>37</v>
      </c>
      <c r="E62" s="383" t="s">
        <v>174</v>
      </c>
      <c r="F62" s="384">
        <v>13.1</v>
      </c>
      <c r="G62" s="384">
        <v>5.16</v>
      </c>
      <c r="H62" s="334">
        <f t="shared" si="1"/>
        <v>182633.04</v>
      </c>
      <c r="I62" s="319">
        <v>2</v>
      </c>
      <c r="J62" s="381">
        <v>17697</v>
      </c>
      <c r="K62" s="385">
        <f t="shared" si="2"/>
        <v>1.0625</v>
      </c>
      <c r="L62" s="339">
        <v>17</v>
      </c>
      <c r="M62" s="339">
        <f t="shared" si="3"/>
        <v>194047.60500000001</v>
      </c>
      <c r="N62" s="339">
        <v>0</v>
      </c>
      <c r="O62" s="339">
        <f t="shared" si="4"/>
        <v>0</v>
      </c>
      <c r="P62" s="339">
        <v>0</v>
      </c>
      <c r="Q62" s="334">
        <f t="shared" si="5"/>
        <v>0</v>
      </c>
      <c r="R62" s="334">
        <f t="shared" si="6"/>
        <v>48511.901250000003</v>
      </c>
      <c r="S62" s="334">
        <f t="shared" si="7"/>
        <v>242559.50625000001</v>
      </c>
      <c r="T62" s="334">
        <f t="shared" si="8"/>
        <v>24255.950625000001</v>
      </c>
      <c r="U62" s="319">
        <v>1</v>
      </c>
      <c r="V62" s="386">
        <f t="shared" si="9"/>
        <v>8848.5</v>
      </c>
      <c r="W62" s="319"/>
      <c r="X62" s="335">
        <f t="shared" si="10"/>
        <v>0</v>
      </c>
      <c r="Y62" s="381">
        <v>9</v>
      </c>
      <c r="Z62" s="334">
        <f t="shared" si="11"/>
        <v>3981.8250000000003</v>
      </c>
      <c r="AA62" s="319"/>
      <c r="AB62" s="334">
        <f t="shared" si="12"/>
        <v>0</v>
      </c>
      <c r="AC62" s="322"/>
      <c r="AD62" s="319"/>
      <c r="AE62" s="334">
        <f t="shared" si="13"/>
        <v>72767.851874999993</v>
      </c>
      <c r="AF62" s="319"/>
      <c r="AG62" s="335">
        <f t="shared" si="14"/>
        <v>0</v>
      </c>
      <c r="AH62" s="381"/>
      <c r="AI62" s="334"/>
      <c r="AJ62" s="334"/>
      <c r="AK62" s="334">
        <f t="shared" si="18"/>
        <v>97023.802500000005</v>
      </c>
      <c r="AL62" s="319"/>
      <c r="AM62" s="334">
        <f t="shared" si="16"/>
        <v>449437.43625000003</v>
      </c>
      <c r="AN62" s="334">
        <f t="shared" si="17"/>
        <v>5393249.2350000003</v>
      </c>
      <c r="AO62" s="221"/>
    </row>
    <row r="63" spans="1:41" s="2" customFormat="1" ht="19.5" customHeight="1">
      <c r="A63" s="381">
        <v>42</v>
      </c>
      <c r="B63" s="378" t="s">
        <v>544</v>
      </c>
      <c r="C63" s="378" t="s">
        <v>480</v>
      </c>
      <c r="D63" s="382" t="s">
        <v>37</v>
      </c>
      <c r="E63" s="383" t="s">
        <v>178</v>
      </c>
      <c r="F63" s="384">
        <v>11.1</v>
      </c>
      <c r="G63" s="384">
        <v>4.8600000000000003</v>
      </c>
      <c r="H63" s="334">
        <f t="shared" si="1"/>
        <v>172014.84000000003</v>
      </c>
      <c r="I63" s="319">
        <v>2</v>
      </c>
      <c r="J63" s="381">
        <v>17697</v>
      </c>
      <c r="K63" s="385">
        <f t="shared" si="2"/>
        <v>1.25</v>
      </c>
      <c r="L63" s="339">
        <v>2</v>
      </c>
      <c r="M63" s="339">
        <f t="shared" si="3"/>
        <v>21501.855000000003</v>
      </c>
      <c r="N63" s="339">
        <v>9</v>
      </c>
      <c r="O63" s="339">
        <f t="shared" si="4"/>
        <v>96758.347500000018</v>
      </c>
      <c r="P63" s="339">
        <v>9</v>
      </c>
      <c r="Q63" s="334">
        <f t="shared" si="5"/>
        <v>96758.347500000018</v>
      </c>
      <c r="R63" s="334">
        <f t="shared" si="6"/>
        <v>53754.637500000012</v>
      </c>
      <c r="S63" s="334">
        <f t="shared" si="7"/>
        <v>268773.18750000006</v>
      </c>
      <c r="T63" s="334">
        <f t="shared" si="8"/>
        <v>26877.318750000006</v>
      </c>
      <c r="U63" s="319"/>
      <c r="V63" s="386">
        <f t="shared" si="9"/>
        <v>0</v>
      </c>
      <c r="W63" s="319">
        <v>0.5</v>
      </c>
      <c r="X63" s="335">
        <f t="shared" si="10"/>
        <v>5309.0999999999995</v>
      </c>
      <c r="Y63" s="381">
        <v>14</v>
      </c>
      <c r="Z63" s="334">
        <f t="shared" si="11"/>
        <v>6193.95</v>
      </c>
      <c r="AA63" s="319"/>
      <c r="AB63" s="334">
        <f t="shared" si="12"/>
        <v>0</v>
      </c>
      <c r="AC63" s="322"/>
      <c r="AD63" s="319"/>
      <c r="AE63" s="334">
        <f t="shared" si="13"/>
        <v>80631.956250000017</v>
      </c>
      <c r="AF63" s="319"/>
      <c r="AG63" s="335">
        <f t="shared" si="14"/>
        <v>0</v>
      </c>
      <c r="AH63" s="381"/>
      <c r="AI63" s="334"/>
      <c r="AJ63" s="334">
        <f t="shared" si="15"/>
        <v>94070.61562500002</v>
      </c>
      <c r="AK63" s="334"/>
      <c r="AL63" s="319"/>
      <c r="AM63" s="334">
        <f t="shared" si="16"/>
        <v>481856.1281250001</v>
      </c>
      <c r="AN63" s="334">
        <f t="shared" si="17"/>
        <v>5782273.5375000015</v>
      </c>
      <c r="AO63" s="221"/>
    </row>
    <row r="64" spans="1:41" s="2" customFormat="1" ht="19.5" customHeight="1">
      <c r="A64" s="381">
        <v>43</v>
      </c>
      <c r="B64" s="378" t="s">
        <v>567</v>
      </c>
      <c r="C64" s="378" t="s">
        <v>483</v>
      </c>
      <c r="D64" s="382" t="s">
        <v>37</v>
      </c>
      <c r="E64" s="383" t="s">
        <v>494</v>
      </c>
      <c r="F64" s="388">
        <v>5.2</v>
      </c>
      <c r="G64" s="384">
        <v>4.2699999999999996</v>
      </c>
      <c r="H64" s="334">
        <f t="shared" si="1"/>
        <v>151132.37999999998</v>
      </c>
      <c r="I64" s="319">
        <v>2</v>
      </c>
      <c r="J64" s="381">
        <v>17697</v>
      </c>
      <c r="K64" s="385">
        <f t="shared" si="2"/>
        <v>0.5</v>
      </c>
      <c r="L64" s="339">
        <v>0</v>
      </c>
      <c r="M64" s="339">
        <f t="shared" si="3"/>
        <v>0</v>
      </c>
      <c r="N64" s="339">
        <v>8</v>
      </c>
      <c r="O64" s="339">
        <f t="shared" si="4"/>
        <v>75566.189999999988</v>
      </c>
      <c r="P64" s="339">
        <v>0</v>
      </c>
      <c r="Q64" s="334">
        <f t="shared" si="5"/>
        <v>0</v>
      </c>
      <c r="R64" s="334">
        <f t="shared" si="6"/>
        <v>18891.547499999997</v>
      </c>
      <c r="S64" s="334">
        <f t="shared" si="7"/>
        <v>94457.737499999988</v>
      </c>
      <c r="T64" s="334">
        <f t="shared" si="8"/>
        <v>9445.7737499999985</v>
      </c>
      <c r="U64" s="319"/>
      <c r="V64" s="386">
        <f t="shared" si="9"/>
        <v>0</v>
      </c>
      <c r="W64" s="319"/>
      <c r="X64" s="335">
        <f t="shared" si="10"/>
        <v>0</v>
      </c>
      <c r="Y64" s="381"/>
      <c r="Z64" s="334">
        <f t="shared" si="11"/>
        <v>0</v>
      </c>
      <c r="AA64" s="319"/>
      <c r="AB64" s="334">
        <f t="shared" si="12"/>
        <v>0</v>
      </c>
      <c r="AC64" s="322"/>
      <c r="AD64" s="319"/>
      <c r="AE64" s="334">
        <f t="shared" si="13"/>
        <v>28337.321249999997</v>
      </c>
      <c r="AF64" s="319"/>
      <c r="AG64" s="335">
        <f t="shared" si="14"/>
        <v>0</v>
      </c>
      <c r="AH64" s="381"/>
      <c r="AI64" s="334"/>
      <c r="AJ64" s="334"/>
      <c r="AK64" s="334"/>
      <c r="AL64" s="319"/>
      <c r="AM64" s="334">
        <f t="shared" si="16"/>
        <v>132240.83249999999</v>
      </c>
      <c r="AN64" s="334">
        <f t="shared" si="17"/>
        <v>1586889.9899999998</v>
      </c>
      <c r="AO64" s="221"/>
    </row>
    <row r="65" spans="1:41" s="2" customFormat="1" ht="19.5" customHeight="1">
      <c r="A65" s="381">
        <v>44</v>
      </c>
      <c r="B65" s="378" t="s">
        <v>547</v>
      </c>
      <c r="C65" s="378" t="s">
        <v>487</v>
      </c>
      <c r="D65" s="382" t="s">
        <v>37</v>
      </c>
      <c r="E65" s="383" t="s">
        <v>178</v>
      </c>
      <c r="F65" s="383">
        <v>35.6</v>
      </c>
      <c r="G65" s="388">
        <v>5.2</v>
      </c>
      <c r="H65" s="334">
        <f t="shared" si="1"/>
        <v>184048.80000000002</v>
      </c>
      <c r="I65" s="319">
        <v>2</v>
      </c>
      <c r="J65" s="381">
        <v>17697</v>
      </c>
      <c r="K65" s="385">
        <f t="shared" si="2"/>
        <v>1.5</v>
      </c>
      <c r="L65" s="339">
        <v>0</v>
      </c>
      <c r="M65" s="339">
        <f t="shared" si="3"/>
        <v>0</v>
      </c>
      <c r="N65" s="339">
        <v>18</v>
      </c>
      <c r="O65" s="339">
        <f t="shared" si="4"/>
        <v>207054.90000000002</v>
      </c>
      <c r="P65" s="339">
        <v>6</v>
      </c>
      <c r="Q65" s="334">
        <f t="shared" si="5"/>
        <v>69018.3</v>
      </c>
      <c r="R65" s="334">
        <f t="shared" si="6"/>
        <v>69018.3</v>
      </c>
      <c r="S65" s="334">
        <f t="shared" si="7"/>
        <v>345091.5</v>
      </c>
      <c r="T65" s="334">
        <f t="shared" si="8"/>
        <v>34509.15</v>
      </c>
      <c r="U65" s="319"/>
      <c r="V65" s="386">
        <f t="shared" si="9"/>
        <v>0</v>
      </c>
      <c r="W65" s="319">
        <v>0.5</v>
      </c>
      <c r="X65" s="335">
        <f t="shared" si="10"/>
        <v>5309.0999999999995</v>
      </c>
      <c r="Y65" s="381">
        <v>21</v>
      </c>
      <c r="Z65" s="334">
        <f t="shared" si="11"/>
        <v>9290.9250000000011</v>
      </c>
      <c r="AA65" s="319"/>
      <c r="AB65" s="334">
        <f t="shared" si="12"/>
        <v>0</v>
      </c>
      <c r="AC65" s="322"/>
      <c r="AD65" s="319"/>
      <c r="AE65" s="334">
        <f t="shared" si="13"/>
        <v>103527.45</v>
      </c>
      <c r="AF65" s="319"/>
      <c r="AG65" s="335">
        <f t="shared" si="14"/>
        <v>0</v>
      </c>
      <c r="AH65" s="381"/>
      <c r="AI65" s="334"/>
      <c r="AJ65" s="334">
        <f t="shared" si="15"/>
        <v>120782.02499999999</v>
      </c>
      <c r="AK65" s="334"/>
      <c r="AL65" s="319"/>
      <c r="AM65" s="334">
        <f t="shared" si="16"/>
        <v>618510.15</v>
      </c>
      <c r="AN65" s="334">
        <f t="shared" si="17"/>
        <v>7422121.8000000007</v>
      </c>
      <c r="AO65" s="221"/>
    </row>
    <row r="66" spans="1:41" s="2" customFormat="1" ht="19.5" customHeight="1">
      <c r="A66" s="381">
        <v>45</v>
      </c>
      <c r="B66" s="378" t="s">
        <v>546</v>
      </c>
      <c r="C66" s="378" t="s">
        <v>480</v>
      </c>
      <c r="D66" s="382" t="s">
        <v>37</v>
      </c>
      <c r="E66" s="383" t="s">
        <v>175</v>
      </c>
      <c r="F66" s="383">
        <v>5.1100000000000003</v>
      </c>
      <c r="G66" s="384">
        <v>4.2699999999999996</v>
      </c>
      <c r="H66" s="334">
        <f t="shared" si="1"/>
        <v>151132.37999999998</v>
      </c>
      <c r="I66" s="319">
        <v>2</v>
      </c>
      <c r="J66" s="381">
        <v>17697</v>
      </c>
      <c r="K66" s="385">
        <f t="shared" si="2"/>
        <v>1</v>
      </c>
      <c r="L66" s="339">
        <v>6</v>
      </c>
      <c r="M66" s="339">
        <f t="shared" si="3"/>
        <v>56674.642499999987</v>
      </c>
      <c r="N66" s="339">
        <v>10</v>
      </c>
      <c r="O66" s="339">
        <f t="shared" si="4"/>
        <v>94457.737499999988</v>
      </c>
      <c r="P66" s="339">
        <v>0</v>
      </c>
      <c r="Q66" s="334">
        <f t="shared" si="5"/>
        <v>0</v>
      </c>
      <c r="R66" s="334">
        <f t="shared" si="6"/>
        <v>37783.094999999994</v>
      </c>
      <c r="S66" s="334">
        <f t="shared" si="7"/>
        <v>188915.47499999998</v>
      </c>
      <c r="T66" s="334">
        <f t="shared" si="8"/>
        <v>18891.547499999997</v>
      </c>
      <c r="U66" s="319"/>
      <c r="V66" s="386">
        <f t="shared" si="9"/>
        <v>0</v>
      </c>
      <c r="W66" s="319">
        <v>1</v>
      </c>
      <c r="X66" s="335">
        <f t="shared" si="10"/>
        <v>10618.199999999999</v>
      </c>
      <c r="Y66" s="381">
        <v>7</v>
      </c>
      <c r="Z66" s="334">
        <f t="shared" si="11"/>
        <v>3096.9749999999999</v>
      </c>
      <c r="AA66" s="319"/>
      <c r="AB66" s="334">
        <f t="shared" si="12"/>
        <v>0</v>
      </c>
      <c r="AC66" s="322"/>
      <c r="AD66" s="319"/>
      <c r="AE66" s="334">
        <f t="shared" si="13"/>
        <v>56674.642499999994</v>
      </c>
      <c r="AF66" s="319"/>
      <c r="AG66" s="335">
        <f t="shared" si="14"/>
        <v>0</v>
      </c>
      <c r="AH66" s="381"/>
      <c r="AI66" s="334"/>
      <c r="AJ66" s="334"/>
      <c r="AK66" s="334"/>
      <c r="AL66" s="319"/>
      <c r="AM66" s="334">
        <f t="shared" si="16"/>
        <v>278196.83999999997</v>
      </c>
      <c r="AN66" s="334">
        <f t="shared" si="17"/>
        <v>3338362.0799999996</v>
      </c>
      <c r="AO66" s="221"/>
    </row>
    <row r="67" spans="1:41" s="2" customFormat="1" ht="19.5" customHeight="1">
      <c r="A67" s="381">
        <v>46</v>
      </c>
      <c r="B67" s="378" t="s">
        <v>548</v>
      </c>
      <c r="C67" s="378" t="s">
        <v>574</v>
      </c>
      <c r="D67" s="382" t="s">
        <v>37</v>
      </c>
      <c r="E67" s="383" t="s">
        <v>178</v>
      </c>
      <c r="F67" s="383">
        <v>22.4</v>
      </c>
      <c r="G67" s="384">
        <v>5.12</v>
      </c>
      <c r="H67" s="334">
        <f t="shared" si="1"/>
        <v>181217.28</v>
      </c>
      <c r="I67" s="319">
        <v>2</v>
      </c>
      <c r="J67" s="381">
        <v>17697</v>
      </c>
      <c r="K67" s="385">
        <f t="shared" si="2"/>
        <v>1.25</v>
      </c>
      <c r="L67" s="339">
        <v>6</v>
      </c>
      <c r="M67" s="339">
        <f t="shared" si="3"/>
        <v>67956.479999999996</v>
      </c>
      <c r="N67" s="339">
        <v>7</v>
      </c>
      <c r="O67" s="339">
        <f t="shared" si="4"/>
        <v>79282.559999999998</v>
      </c>
      <c r="P67" s="339">
        <v>7</v>
      </c>
      <c r="Q67" s="334">
        <f t="shared" si="5"/>
        <v>79282.559999999998</v>
      </c>
      <c r="R67" s="334">
        <f t="shared" si="6"/>
        <v>56630.399999999994</v>
      </c>
      <c r="S67" s="334">
        <f t="shared" si="7"/>
        <v>283152</v>
      </c>
      <c r="T67" s="334">
        <f t="shared" si="8"/>
        <v>28315.200000000001</v>
      </c>
      <c r="U67" s="319"/>
      <c r="V67" s="386">
        <f t="shared" si="9"/>
        <v>0</v>
      </c>
      <c r="W67" s="319">
        <v>0.5</v>
      </c>
      <c r="X67" s="335">
        <f t="shared" si="10"/>
        <v>5309.0999999999995</v>
      </c>
      <c r="Y67" s="381"/>
      <c r="Z67" s="334">
        <f t="shared" si="11"/>
        <v>0</v>
      </c>
      <c r="AA67" s="319">
        <v>6</v>
      </c>
      <c r="AB67" s="334">
        <f t="shared" si="12"/>
        <v>3318.1875</v>
      </c>
      <c r="AC67" s="322"/>
      <c r="AD67" s="319"/>
      <c r="AE67" s="334">
        <f t="shared" si="13"/>
        <v>84945.599999999991</v>
      </c>
      <c r="AF67" s="319"/>
      <c r="AG67" s="335">
        <f t="shared" si="14"/>
        <v>0</v>
      </c>
      <c r="AH67" s="381"/>
      <c r="AI67" s="334"/>
      <c r="AJ67" s="334">
        <f t="shared" si="15"/>
        <v>99103.2</v>
      </c>
      <c r="AK67" s="334"/>
      <c r="AL67" s="319"/>
      <c r="AM67" s="334">
        <f t="shared" si="16"/>
        <v>504143.28749999998</v>
      </c>
      <c r="AN67" s="334">
        <f t="shared" si="17"/>
        <v>6049719.4499999993</v>
      </c>
      <c r="AO67" s="221"/>
    </row>
    <row r="68" spans="1:41" s="2" customFormat="1" ht="18.75" customHeight="1">
      <c r="A68" s="381">
        <v>47</v>
      </c>
      <c r="B68" s="378" t="s">
        <v>549</v>
      </c>
      <c r="C68" s="379" t="s">
        <v>619</v>
      </c>
      <c r="D68" s="382" t="s">
        <v>37</v>
      </c>
      <c r="E68" s="383" t="s">
        <v>177</v>
      </c>
      <c r="F68" s="384">
        <v>5.0999999999999996</v>
      </c>
      <c r="G68" s="384">
        <v>4.66</v>
      </c>
      <c r="H68" s="334">
        <f t="shared" si="1"/>
        <v>164936.04</v>
      </c>
      <c r="I68" s="319">
        <v>2</v>
      </c>
      <c r="J68" s="381">
        <v>17697</v>
      </c>
      <c r="K68" s="385">
        <f t="shared" si="2"/>
        <v>1.09375</v>
      </c>
      <c r="L68" s="339">
        <v>0</v>
      </c>
      <c r="M68" s="339">
        <f t="shared" si="3"/>
        <v>0</v>
      </c>
      <c r="N68" s="390">
        <v>15.5</v>
      </c>
      <c r="O68" s="339">
        <f t="shared" si="4"/>
        <v>159781.78875000001</v>
      </c>
      <c r="P68" s="339">
        <v>2</v>
      </c>
      <c r="Q68" s="334">
        <f t="shared" si="5"/>
        <v>20617.005000000001</v>
      </c>
      <c r="R68" s="334">
        <f t="shared" si="6"/>
        <v>45099.698437500003</v>
      </c>
      <c r="S68" s="334">
        <f t="shared" si="7"/>
        <v>225498.4921875</v>
      </c>
      <c r="T68" s="334">
        <f t="shared" si="8"/>
        <v>22549.849218750001</v>
      </c>
      <c r="U68" s="319"/>
      <c r="V68" s="386">
        <f t="shared" si="9"/>
        <v>0</v>
      </c>
      <c r="W68" s="319">
        <v>1</v>
      </c>
      <c r="X68" s="335">
        <f t="shared" si="10"/>
        <v>10618.199999999999</v>
      </c>
      <c r="Y68" s="381"/>
      <c r="Z68" s="334">
        <f t="shared" si="11"/>
        <v>0</v>
      </c>
      <c r="AA68" s="319"/>
      <c r="AB68" s="334">
        <f t="shared" si="12"/>
        <v>0</v>
      </c>
      <c r="AC68" s="322"/>
      <c r="AD68" s="319"/>
      <c r="AE68" s="334">
        <f t="shared" si="13"/>
        <v>67649.547656249997</v>
      </c>
      <c r="AF68" s="319"/>
      <c r="AG68" s="335">
        <f t="shared" si="14"/>
        <v>0</v>
      </c>
      <c r="AH68" s="381"/>
      <c r="AI68" s="334">
        <f t="shared" si="19"/>
        <v>67649.547656249997</v>
      </c>
      <c r="AJ68" s="334"/>
      <c r="AK68" s="334"/>
      <c r="AL68" s="319"/>
      <c r="AM68" s="334">
        <f t="shared" si="16"/>
        <v>393965.63671875</v>
      </c>
      <c r="AN68" s="334">
        <f t="shared" si="17"/>
        <v>4727587.640625</v>
      </c>
      <c r="AO68" s="221"/>
    </row>
    <row r="69" spans="1:41" s="2" customFormat="1" ht="21" customHeight="1">
      <c r="A69" s="381">
        <v>48</v>
      </c>
      <c r="B69" s="378" t="s">
        <v>550</v>
      </c>
      <c r="C69" s="378" t="s">
        <v>573</v>
      </c>
      <c r="D69" s="382" t="s">
        <v>37</v>
      </c>
      <c r="E69" s="383" t="s">
        <v>177</v>
      </c>
      <c r="F69" s="384">
        <v>7.11</v>
      </c>
      <c r="G69" s="384">
        <v>4.74</v>
      </c>
      <c r="H69" s="334">
        <f t="shared" si="1"/>
        <v>167767.56</v>
      </c>
      <c r="I69" s="319">
        <v>2</v>
      </c>
      <c r="J69" s="381">
        <v>17697</v>
      </c>
      <c r="K69" s="385">
        <f t="shared" si="2"/>
        <v>1</v>
      </c>
      <c r="L69" s="339">
        <v>0</v>
      </c>
      <c r="M69" s="339">
        <f t="shared" si="3"/>
        <v>0</v>
      </c>
      <c r="N69" s="339">
        <v>16</v>
      </c>
      <c r="O69" s="339">
        <f t="shared" si="4"/>
        <v>167767.56</v>
      </c>
      <c r="P69" s="339">
        <v>0</v>
      </c>
      <c r="Q69" s="334">
        <f t="shared" si="5"/>
        <v>0</v>
      </c>
      <c r="R69" s="334">
        <f t="shared" si="6"/>
        <v>41941.89</v>
      </c>
      <c r="S69" s="334">
        <f t="shared" si="7"/>
        <v>209709.45</v>
      </c>
      <c r="T69" s="334">
        <f t="shared" si="8"/>
        <v>20970.945000000003</v>
      </c>
      <c r="U69" s="319"/>
      <c r="V69" s="386">
        <f t="shared" si="9"/>
        <v>0</v>
      </c>
      <c r="W69" s="319"/>
      <c r="X69" s="335">
        <f t="shared" si="10"/>
        <v>0</v>
      </c>
      <c r="Y69" s="381"/>
      <c r="Z69" s="334">
        <f t="shared" si="11"/>
        <v>0</v>
      </c>
      <c r="AA69" s="319"/>
      <c r="AB69" s="334">
        <f t="shared" si="12"/>
        <v>0</v>
      </c>
      <c r="AC69" s="322"/>
      <c r="AD69" s="319"/>
      <c r="AE69" s="334">
        <f t="shared" si="13"/>
        <v>62912.834999999999</v>
      </c>
      <c r="AF69" s="319"/>
      <c r="AG69" s="335">
        <f t="shared" si="14"/>
        <v>0</v>
      </c>
      <c r="AH69" s="381"/>
      <c r="AI69" s="334">
        <f t="shared" si="19"/>
        <v>62912.834999999999</v>
      </c>
      <c r="AJ69" s="334"/>
      <c r="AK69" s="334"/>
      <c r="AL69" s="319"/>
      <c r="AM69" s="334">
        <f t="shared" si="16"/>
        <v>356506.06500000006</v>
      </c>
      <c r="AN69" s="334">
        <f t="shared" si="17"/>
        <v>4278072.7800000012</v>
      </c>
      <c r="AO69" s="221"/>
    </row>
    <row r="70" spans="1:41" s="2" customFormat="1" ht="19.5" customHeight="1">
      <c r="A70" s="381">
        <v>49</v>
      </c>
      <c r="B70" s="378" t="s">
        <v>551</v>
      </c>
      <c r="C70" s="378" t="s">
        <v>620</v>
      </c>
      <c r="D70" s="382" t="s">
        <v>37</v>
      </c>
      <c r="E70" s="383" t="s">
        <v>178</v>
      </c>
      <c r="F70" s="383">
        <v>14.9</v>
      </c>
      <c r="G70" s="384">
        <v>4.95</v>
      </c>
      <c r="H70" s="334">
        <f t="shared" si="1"/>
        <v>175200.30000000002</v>
      </c>
      <c r="I70" s="319">
        <v>2</v>
      </c>
      <c r="J70" s="381">
        <v>17697</v>
      </c>
      <c r="K70" s="385">
        <f t="shared" si="2"/>
        <v>1.25</v>
      </c>
      <c r="L70" s="339">
        <v>5</v>
      </c>
      <c r="M70" s="339">
        <f t="shared" si="3"/>
        <v>54750.093750000007</v>
      </c>
      <c r="N70" s="339">
        <v>15</v>
      </c>
      <c r="O70" s="339">
        <f t="shared" si="4"/>
        <v>164250.28125000003</v>
      </c>
      <c r="P70" s="339">
        <v>0</v>
      </c>
      <c r="Q70" s="334">
        <f t="shared" si="5"/>
        <v>0</v>
      </c>
      <c r="R70" s="334">
        <f t="shared" si="6"/>
        <v>54750.093750000007</v>
      </c>
      <c r="S70" s="334">
        <f t="shared" si="7"/>
        <v>273750.46875000006</v>
      </c>
      <c r="T70" s="334">
        <f t="shared" si="8"/>
        <v>27375.046875000007</v>
      </c>
      <c r="U70" s="319"/>
      <c r="V70" s="386">
        <f t="shared" si="9"/>
        <v>0</v>
      </c>
      <c r="W70" s="319"/>
      <c r="X70" s="335">
        <f t="shared" si="10"/>
        <v>0</v>
      </c>
      <c r="Y70" s="381"/>
      <c r="Z70" s="334">
        <f t="shared" si="11"/>
        <v>0</v>
      </c>
      <c r="AA70" s="319">
        <v>13</v>
      </c>
      <c r="AB70" s="334">
        <f t="shared" si="12"/>
        <v>7189.40625</v>
      </c>
      <c r="AC70" s="322"/>
      <c r="AD70" s="319"/>
      <c r="AE70" s="334">
        <f t="shared" si="13"/>
        <v>82125.140625000015</v>
      </c>
      <c r="AF70" s="319"/>
      <c r="AG70" s="335">
        <f t="shared" si="14"/>
        <v>0</v>
      </c>
      <c r="AH70" s="381"/>
      <c r="AI70" s="334"/>
      <c r="AJ70" s="334">
        <f t="shared" si="15"/>
        <v>95812.664062500015</v>
      </c>
      <c r="AK70" s="334"/>
      <c r="AL70" s="319"/>
      <c r="AM70" s="334">
        <f t="shared" si="16"/>
        <v>486252.72656250006</v>
      </c>
      <c r="AN70" s="334">
        <f t="shared" si="17"/>
        <v>5835032.7187500009</v>
      </c>
      <c r="AO70" s="221"/>
    </row>
    <row r="71" spans="1:41" s="2" customFormat="1" ht="19.5" customHeight="1">
      <c r="A71" s="381">
        <v>50</v>
      </c>
      <c r="B71" s="378" t="s">
        <v>552</v>
      </c>
      <c r="C71" s="378" t="s">
        <v>481</v>
      </c>
      <c r="D71" s="382" t="s">
        <v>37</v>
      </c>
      <c r="E71" s="383" t="s">
        <v>178</v>
      </c>
      <c r="F71" s="383">
        <v>32</v>
      </c>
      <c r="G71" s="388">
        <v>5.2</v>
      </c>
      <c r="H71" s="334">
        <f t="shared" si="1"/>
        <v>184048.80000000002</v>
      </c>
      <c r="I71" s="319">
        <v>2</v>
      </c>
      <c r="J71" s="381">
        <v>17697</v>
      </c>
      <c r="K71" s="385">
        <f t="shared" si="2"/>
        <v>1</v>
      </c>
      <c r="L71" s="339">
        <v>16</v>
      </c>
      <c r="M71" s="339">
        <f t="shared" si="3"/>
        <v>184048.80000000002</v>
      </c>
      <c r="N71" s="339">
        <v>0</v>
      </c>
      <c r="O71" s="339">
        <f t="shared" si="4"/>
        <v>0</v>
      </c>
      <c r="P71" s="339">
        <v>0</v>
      </c>
      <c r="Q71" s="334">
        <f t="shared" si="5"/>
        <v>0</v>
      </c>
      <c r="R71" s="334">
        <f t="shared" si="6"/>
        <v>46012.200000000004</v>
      </c>
      <c r="S71" s="334">
        <f t="shared" si="7"/>
        <v>230061.00000000003</v>
      </c>
      <c r="T71" s="334">
        <f t="shared" si="8"/>
        <v>23006.100000000006</v>
      </c>
      <c r="U71" s="319">
        <v>1</v>
      </c>
      <c r="V71" s="386">
        <f t="shared" si="9"/>
        <v>8848.5</v>
      </c>
      <c r="W71" s="319"/>
      <c r="X71" s="335">
        <f t="shared" si="10"/>
        <v>0</v>
      </c>
      <c r="Y71" s="381">
        <v>9</v>
      </c>
      <c r="Z71" s="334">
        <f t="shared" si="11"/>
        <v>3981.8250000000003</v>
      </c>
      <c r="AA71" s="319"/>
      <c r="AB71" s="334">
        <f t="shared" si="12"/>
        <v>0</v>
      </c>
      <c r="AC71" s="322"/>
      <c r="AD71" s="319"/>
      <c r="AE71" s="334">
        <f t="shared" si="13"/>
        <v>69018.3</v>
      </c>
      <c r="AF71" s="319"/>
      <c r="AG71" s="335">
        <f t="shared" si="14"/>
        <v>0</v>
      </c>
      <c r="AH71" s="381"/>
      <c r="AI71" s="334"/>
      <c r="AJ71" s="334">
        <f t="shared" si="15"/>
        <v>80521.350000000006</v>
      </c>
      <c r="AK71" s="334"/>
      <c r="AL71" s="319"/>
      <c r="AM71" s="334">
        <f t="shared" si="16"/>
        <v>415437.07500000007</v>
      </c>
      <c r="AN71" s="334">
        <f t="shared" si="17"/>
        <v>4985244.9000000004</v>
      </c>
      <c r="AO71" s="221"/>
    </row>
    <row r="72" spans="1:41" s="2" customFormat="1" ht="19.5" customHeight="1">
      <c r="A72" s="381">
        <v>51</v>
      </c>
      <c r="B72" s="378" t="s">
        <v>553</v>
      </c>
      <c r="C72" s="378" t="s">
        <v>574</v>
      </c>
      <c r="D72" s="382" t="s">
        <v>37</v>
      </c>
      <c r="E72" s="383" t="s">
        <v>175</v>
      </c>
      <c r="F72" s="383">
        <v>1.1100000000000001</v>
      </c>
      <c r="G72" s="384">
        <v>4.1399999999999997</v>
      </c>
      <c r="H72" s="334">
        <f t="shared" si="1"/>
        <v>146531.15999999997</v>
      </c>
      <c r="I72" s="319">
        <v>2</v>
      </c>
      <c r="J72" s="381">
        <v>17697</v>
      </c>
      <c r="K72" s="385">
        <f t="shared" si="2"/>
        <v>1.125</v>
      </c>
      <c r="L72" s="339">
        <v>10</v>
      </c>
      <c r="M72" s="339">
        <f t="shared" si="3"/>
        <v>91581.974999999977</v>
      </c>
      <c r="N72" s="339">
        <v>8</v>
      </c>
      <c r="O72" s="339">
        <f t="shared" si="4"/>
        <v>73265.579999999987</v>
      </c>
      <c r="P72" s="339">
        <v>0</v>
      </c>
      <c r="Q72" s="334">
        <f t="shared" si="5"/>
        <v>0</v>
      </c>
      <c r="R72" s="334">
        <f t="shared" si="6"/>
        <v>41211.888749999991</v>
      </c>
      <c r="S72" s="334">
        <f t="shared" si="7"/>
        <v>206059.44374999995</v>
      </c>
      <c r="T72" s="334">
        <f t="shared" si="8"/>
        <v>20605.944374999995</v>
      </c>
      <c r="U72" s="319"/>
      <c r="V72" s="386">
        <f t="shared" si="9"/>
        <v>0</v>
      </c>
      <c r="W72" s="319"/>
      <c r="X72" s="335">
        <f t="shared" si="10"/>
        <v>0</v>
      </c>
      <c r="Y72" s="381"/>
      <c r="Z72" s="334">
        <f t="shared" si="11"/>
        <v>0</v>
      </c>
      <c r="AA72" s="319">
        <v>12.5</v>
      </c>
      <c r="AB72" s="334">
        <f t="shared" si="12"/>
        <v>6912.890625</v>
      </c>
      <c r="AC72" s="322"/>
      <c r="AD72" s="319"/>
      <c r="AE72" s="334">
        <f t="shared" si="13"/>
        <v>61817.833124999983</v>
      </c>
      <c r="AF72" s="319"/>
      <c r="AG72" s="335">
        <f t="shared" si="14"/>
        <v>0</v>
      </c>
      <c r="AH72" s="381"/>
      <c r="AI72" s="334"/>
      <c r="AJ72" s="334"/>
      <c r="AK72" s="334"/>
      <c r="AL72" s="319"/>
      <c r="AM72" s="334">
        <f t="shared" si="16"/>
        <v>295396.11187499994</v>
      </c>
      <c r="AN72" s="334">
        <f t="shared" si="17"/>
        <v>3544753.3424999993</v>
      </c>
      <c r="AO72" s="221"/>
    </row>
    <row r="73" spans="1:41" s="2" customFormat="1" ht="19.5" customHeight="1">
      <c r="A73" s="381">
        <v>52</v>
      </c>
      <c r="B73" s="378" t="s">
        <v>508</v>
      </c>
      <c r="C73" s="378" t="s">
        <v>481</v>
      </c>
      <c r="D73" s="382" t="s">
        <v>37</v>
      </c>
      <c r="E73" s="383" t="s">
        <v>178</v>
      </c>
      <c r="F73" s="383">
        <v>11.11</v>
      </c>
      <c r="G73" s="384">
        <v>4.8600000000000003</v>
      </c>
      <c r="H73" s="334">
        <f t="shared" si="1"/>
        <v>172014.84000000003</v>
      </c>
      <c r="I73" s="319">
        <v>2</v>
      </c>
      <c r="J73" s="381">
        <v>17697</v>
      </c>
      <c r="K73" s="385">
        <f t="shared" si="2"/>
        <v>1.125</v>
      </c>
      <c r="L73" s="339">
        <v>18</v>
      </c>
      <c r="M73" s="339">
        <f t="shared" si="3"/>
        <v>193516.69500000004</v>
      </c>
      <c r="N73" s="339">
        <v>0</v>
      </c>
      <c r="O73" s="339">
        <f t="shared" si="4"/>
        <v>0</v>
      </c>
      <c r="P73" s="339">
        <v>0</v>
      </c>
      <c r="Q73" s="334">
        <f t="shared" si="5"/>
        <v>0</v>
      </c>
      <c r="R73" s="334">
        <f t="shared" si="6"/>
        <v>48379.173750000009</v>
      </c>
      <c r="S73" s="334">
        <f t="shared" si="7"/>
        <v>241895.86875000005</v>
      </c>
      <c r="T73" s="334">
        <f t="shared" si="8"/>
        <v>24189.586875000008</v>
      </c>
      <c r="U73" s="319">
        <v>1</v>
      </c>
      <c r="V73" s="386">
        <f t="shared" si="9"/>
        <v>8848.5</v>
      </c>
      <c r="W73" s="319"/>
      <c r="X73" s="335">
        <f t="shared" si="10"/>
        <v>0</v>
      </c>
      <c r="Y73" s="381">
        <v>8</v>
      </c>
      <c r="Z73" s="334">
        <f t="shared" si="11"/>
        <v>3539.4</v>
      </c>
      <c r="AA73" s="319"/>
      <c r="AB73" s="334">
        <f t="shared" si="12"/>
        <v>0</v>
      </c>
      <c r="AC73" s="392"/>
      <c r="AD73" s="319"/>
      <c r="AE73" s="334">
        <f t="shared" si="13"/>
        <v>72568.76062500001</v>
      </c>
      <c r="AF73" s="319"/>
      <c r="AG73" s="335">
        <f t="shared" si="14"/>
        <v>0</v>
      </c>
      <c r="AH73" s="381"/>
      <c r="AI73" s="334"/>
      <c r="AJ73" s="334">
        <f t="shared" si="15"/>
        <v>84663.554062500014</v>
      </c>
      <c r="AK73" s="334"/>
      <c r="AL73" s="319"/>
      <c r="AM73" s="334">
        <f t="shared" si="16"/>
        <v>435705.67031250009</v>
      </c>
      <c r="AN73" s="334">
        <f t="shared" si="17"/>
        <v>5228468.0437500011</v>
      </c>
      <c r="AO73" s="221"/>
    </row>
    <row r="74" spans="1:41" s="2" customFormat="1" ht="19.5" customHeight="1">
      <c r="A74" s="381">
        <v>53</v>
      </c>
      <c r="B74" s="378" t="s">
        <v>509</v>
      </c>
      <c r="C74" s="378" t="s">
        <v>481</v>
      </c>
      <c r="D74" s="382" t="s">
        <v>37</v>
      </c>
      <c r="E74" s="383" t="s">
        <v>175</v>
      </c>
      <c r="F74" s="383">
        <v>1.1100000000000001</v>
      </c>
      <c r="G74" s="384">
        <v>4.1399999999999997</v>
      </c>
      <c r="H74" s="334">
        <f t="shared" si="1"/>
        <v>146531.15999999997</v>
      </c>
      <c r="I74" s="319">
        <v>2</v>
      </c>
      <c r="J74" s="381">
        <v>17697</v>
      </c>
      <c r="K74" s="385">
        <f t="shared" si="2"/>
        <v>1.0625</v>
      </c>
      <c r="L74" s="339">
        <v>17</v>
      </c>
      <c r="M74" s="339">
        <f t="shared" si="3"/>
        <v>155689.35749999998</v>
      </c>
      <c r="N74" s="339">
        <v>0</v>
      </c>
      <c r="O74" s="339">
        <f t="shared" si="4"/>
        <v>0</v>
      </c>
      <c r="P74" s="339">
        <v>0</v>
      </c>
      <c r="Q74" s="334">
        <f t="shared" si="5"/>
        <v>0</v>
      </c>
      <c r="R74" s="334">
        <f t="shared" si="6"/>
        <v>38922.339374999996</v>
      </c>
      <c r="S74" s="334">
        <f t="shared" si="7"/>
        <v>194611.69687499997</v>
      </c>
      <c r="T74" s="334">
        <f t="shared" si="8"/>
        <v>19461.169687499998</v>
      </c>
      <c r="U74" s="319">
        <v>1</v>
      </c>
      <c r="V74" s="386">
        <f t="shared" si="9"/>
        <v>8848.5</v>
      </c>
      <c r="W74" s="319"/>
      <c r="X74" s="335">
        <f t="shared" si="10"/>
        <v>0</v>
      </c>
      <c r="Y74" s="381">
        <v>8</v>
      </c>
      <c r="Z74" s="334">
        <f t="shared" si="11"/>
        <v>3539.4</v>
      </c>
      <c r="AA74" s="319"/>
      <c r="AB74" s="334">
        <f t="shared" si="12"/>
        <v>0</v>
      </c>
      <c r="AC74" s="392"/>
      <c r="AD74" s="319"/>
      <c r="AE74" s="334">
        <f t="shared" si="13"/>
        <v>58383.509062499987</v>
      </c>
      <c r="AF74" s="319"/>
      <c r="AG74" s="335">
        <f t="shared" si="14"/>
        <v>0</v>
      </c>
      <c r="AH74" s="381"/>
      <c r="AI74" s="334"/>
      <c r="AJ74" s="334"/>
      <c r="AK74" s="334"/>
      <c r="AL74" s="319"/>
      <c r="AM74" s="334">
        <f t="shared" si="16"/>
        <v>284844.27562499995</v>
      </c>
      <c r="AN74" s="334">
        <f t="shared" si="17"/>
        <v>3418131.3074999992</v>
      </c>
      <c r="AO74" s="221"/>
    </row>
    <row r="75" spans="1:41" s="2" customFormat="1" ht="19.5" customHeight="1">
      <c r="A75" s="381">
        <v>54</v>
      </c>
      <c r="B75" s="378" t="s">
        <v>554</v>
      </c>
      <c r="C75" s="378" t="s">
        <v>573</v>
      </c>
      <c r="D75" s="382" t="s">
        <v>37</v>
      </c>
      <c r="E75" s="383" t="s">
        <v>177</v>
      </c>
      <c r="F75" s="383">
        <v>8</v>
      </c>
      <c r="G75" s="384">
        <v>4.74</v>
      </c>
      <c r="H75" s="334">
        <f t="shared" si="1"/>
        <v>167767.56</v>
      </c>
      <c r="I75" s="319">
        <v>2</v>
      </c>
      <c r="J75" s="381">
        <v>17697</v>
      </c>
      <c r="K75" s="385">
        <f t="shared" si="2"/>
        <v>1</v>
      </c>
      <c r="L75" s="339">
        <v>9</v>
      </c>
      <c r="M75" s="339">
        <f t="shared" si="3"/>
        <v>94369.252500000002</v>
      </c>
      <c r="N75" s="339">
        <v>6</v>
      </c>
      <c r="O75" s="339">
        <f t="shared" si="4"/>
        <v>62912.834999999999</v>
      </c>
      <c r="P75" s="339">
        <v>1</v>
      </c>
      <c r="Q75" s="334">
        <f t="shared" si="5"/>
        <v>10485.4725</v>
      </c>
      <c r="R75" s="334">
        <f t="shared" si="6"/>
        <v>41941.89</v>
      </c>
      <c r="S75" s="334">
        <f t="shared" si="7"/>
        <v>209709.45</v>
      </c>
      <c r="T75" s="334">
        <f t="shared" si="8"/>
        <v>20970.945000000003</v>
      </c>
      <c r="U75" s="319"/>
      <c r="V75" s="386">
        <f t="shared" si="9"/>
        <v>0</v>
      </c>
      <c r="W75" s="319"/>
      <c r="X75" s="335">
        <f t="shared" si="10"/>
        <v>0</v>
      </c>
      <c r="Y75" s="381"/>
      <c r="Z75" s="334">
        <f t="shared" si="11"/>
        <v>0</v>
      </c>
      <c r="AA75" s="319"/>
      <c r="AB75" s="334">
        <f t="shared" si="12"/>
        <v>0</v>
      </c>
      <c r="AC75" s="322"/>
      <c r="AD75" s="319"/>
      <c r="AE75" s="334">
        <f t="shared" si="13"/>
        <v>62912.834999999999</v>
      </c>
      <c r="AF75" s="319"/>
      <c r="AG75" s="335">
        <f t="shared" si="14"/>
        <v>0</v>
      </c>
      <c r="AH75" s="381"/>
      <c r="AI75" s="334">
        <f t="shared" si="19"/>
        <v>62912.834999999999</v>
      </c>
      <c r="AJ75" s="334"/>
      <c r="AK75" s="334"/>
      <c r="AL75" s="319"/>
      <c r="AM75" s="334">
        <f t="shared" si="16"/>
        <v>356506.06500000006</v>
      </c>
      <c r="AN75" s="334">
        <f t="shared" si="17"/>
        <v>4278072.7800000012</v>
      </c>
      <c r="AO75" s="221"/>
    </row>
    <row r="76" spans="1:41" s="2" customFormat="1" ht="19.5" customHeight="1">
      <c r="A76" s="381">
        <v>55</v>
      </c>
      <c r="B76" s="378" t="s">
        <v>555</v>
      </c>
      <c r="C76" s="378" t="s">
        <v>481</v>
      </c>
      <c r="D76" s="382" t="s">
        <v>37</v>
      </c>
      <c r="E76" s="383" t="s">
        <v>174</v>
      </c>
      <c r="F76" s="383">
        <v>16</v>
      </c>
      <c r="G76" s="384">
        <v>5.24</v>
      </c>
      <c r="H76" s="334">
        <f t="shared" si="1"/>
        <v>185464.56</v>
      </c>
      <c r="I76" s="319">
        <v>2</v>
      </c>
      <c r="J76" s="381">
        <v>17697</v>
      </c>
      <c r="K76" s="385">
        <f t="shared" si="2"/>
        <v>1.0625</v>
      </c>
      <c r="L76" s="339">
        <v>17</v>
      </c>
      <c r="M76" s="339">
        <f t="shared" si="3"/>
        <v>197056.095</v>
      </c>
      <c r="N76" s="339">
        <v>0</v>
      </c>
      <c r="O76" s="339">
        <f t="shared" si="4"/>
        <v>0</v>
      </c>
      <c r="P76" s="339">
        <v>0</v>
      </c>
      <c r="Q76" s="334">
        <f t="shared" si="5"/>
        <v>0</v>
      </c>
      <c r="R76" s="334">
        <f t="shared" si="6"/>
        <v>49264.02375</v>
      </c>
      <c r="S76" s="334">
        <f t="shared" si="7"/>
        <v>246320.11874999999</v>
      </c>
      <c r="T76" s="334">
        <f t="shared" si="8"/>
        <v>24632.011875</v>
      </c>
      <c r="U76" s="319">
        <v>1</v>
      </c>
      <c r="V76" s="386">
        <f t="shared" si="9"/>
        <v>8848.5</v>
      </c>
      <c r="W76" s="319"/>
      <c r="X76" s="335">
        <f t="shared" si="10"/>
        <v>0</v>
      </c>
      <c r="Y76" s="381">
        <v>10</v>
      </c>
      <c r="Z76" s="334">
        <f t="shared" si="11"/>
        <v>4424.25</v>
      </c>
      <c r="AA76" s="319"/>
      <c r="AB76" s="334">
        <f t="shared" si="12"/>
        <v>0</v>
      </c>
      <c r="AC76" s="322"/>
      <c r="AD76" s="319"/>
      <c r="AE76" s="334">
        <f t="shared" si="13"/>
        <v>73896.03562499999</v>
      </c>
      <c r="AF76" s="319"/>
      <c r="AG76" s="335">
        <f t="shared" si="14"/>
        <v>0</v>
      </c>
      <c r="AH76" s="381"/>
      <c r="AI76" s="334"/>
      <c r="AJ76" s="334"/>
      <c r="AK76" s="334">
        <f t="shared" si="18"/>
        <v>98528.047500000001</v>
      </c>
      <c r="AL76" s="319"/>
      <c r="AM76" s="334">
        <f t="shared" si="16"/>
        <v>456648.96375</v>
      </c>
      <c r="AN76" s="334">
        <f t="shared" si="17"/>
        <v>5479787.5649999995</v>
      </c>
      <c r="AO76" s="221"/>
    </row>
    <row r="77" spans="1:41" s="2" customFormat="1" ht="19.5" customHeight="1">
      <c r="A77" s="381">
        <v>56</v>
      </c>
      <c r="B77" s="378" t="s">
        <v>556</v>
      </c>
      <c r="C77" s="378" t="s">
        <v>485</v>
      </c>
      <c r="D77" s="382" t="s">
        <v>37</v>
      </c>
      <c r="E77" s="383" t="s">
        <v>177</v>
      </c>
      <c r="F77" s="383">
        <v>8</v>
      </c>
      <c r="G77" s="384">
        <v>4.74</v>
      </c>
      <c r="H77" s="334">
        <f t="shared" si="1"/>
        <v>167767.56</v>
      </c>
      <c r="I77" s="319">
        <v>2</v>
      </c>
      <c r="J77" s="381">
        <v>17697</v>
      </c>
      <c r="K77" s="385">
        <f t="shared" si="2"/>
        <v>1.25</v>
      </c>
      <c r="L77" s="339">
        <v>0</v>
      </c>
      <c r="M77" s="339">
        <f t="shared" si="3"/>
        <v>0</v>
      </c>
      <c r="N77" s="339">
        <v>14</v>
      </c>
      <c r="O77" s="339">
        <f t="shared" si="4"/>
        <v>146796.61499999999</v>
      </c>
      <c r="P77" s="339">
        <v>6</v>
      </c>
      <c r="Q77" s="334">
        <f t="shared" si="5"/>
        <v>62912.834999999999</v>
      </c>
      <c r="R77" s="334">
        <f t="shared" si="6"/>
        <v>52427.362499999996</v>
      </c>
      <c r="S77" s="334">
        <f t="shared" si="7"/>
        <v>262136.81249999997</v>
      </c>
      <c r="T77" s="334">
        <f t="shared" si="8"/>
        <v>26213.681249999998</v>
      </c>
      <c r="U77" s="319"/>
      <c r="V77" s="386">
        <f t="shared" si="9"/>
        <v>0</v>
      </c>
      <c r="W77" s="319">
        <v>1</v>
      </c>
      <c r="X77" s="335">
        <f t="shared" si="10"/>
        <v>10618.199999999999</v>
      </c>
      <c r="Y77" s="381"/>
      <c r="Z77" s="334">
        <f t="shared" si="11"/>
        <v>0</v>
      </c>
      <c r="AA77" s="319"/>
      <c r="AB77" s="334">
        <f t="shared" si="12"/>
        <v>0</v>
      </c>
      <c r="AC77" s="322"/>
      <c r="AD77" s="319"/>
      <c r="AE77" s="334">
        <f t="shared" si="13"/>
        <v>78641.043749999983</v>
      </c>
      <c r="AF77" s="319"/>
      <c r="AG77" s="335">
        <f t="shared" si="14"/>
        <v>0</v>
      </c>
      <c r="AH77" s="381"/>
      <c r="AI77" s="334">
        <f t="shared" si="19"/>
        <v>78641.043749999983</v>
      </c>
      <c r="AJ77" s="334"/>
      <c r="AK77" s="334"/>
      <c r="AL77" s="319"/>
      <c r="AM77" s="334">
        <f t="shared" si="16"/>
        <v>456250.78124999988</v>
      </c>
      <c r="AN77" s="334">
        <f t="shared" si="17"/>
        <v>5475009.3749999981</v>
      </c>
      <c r="AO77" s="221"/>
    </row>
    <row r="78" spans="1:41" s="2" customFormat="1" ht="19.5" customHeight="1">
      <c r="A78" s="381">
        <v>57</v>
      </c>
      <c r="B78" s="378" t="s">
        <v>557</v>
      </c>
      <c r="C78" s="378" t="s">
        <v>481</v>
      </c>
      <c r="D78" s="382" t="s">
        <v>37</v>
      </c>
      <c r="E78" s="383" t="s">
        <v>175</v>
      </c>
      <c r="F78" s="384">
        <v>3.1</v>
      </c>
      <c r="G78" s="384">
        <v>4.2300000000000004</v>
      </c>
      <c r="H78" s="334">
        <f t="shared" si="1"/>
        <v>149716.62000000002</v>
      </c>
      <c r="I78" s="319">
        <v>2</v>
      </c>
      <c r="J78" s="381">
        <v>17697</v>
      </c>
      <c r="K78" s="385">
        <f t="shared" si="2"/>
        <v>1.0625</v>
      </c>
      <c r="L78" s="339">
        <v>6</v>
      </c>
      <c r="M78" s="339">
        <f t="shared" si="3"/>
        <v>56143.732500000013</v>
      </c>
      <c r="N78" s="339">
        <v>11</v>
      </c>
      <c r="O78" s="339">
        <f t="shared" si="4"/>
        <v>102930.17625000002</v>
      </c>
      <c r="P78" s="339">
        <v>0</v>
      </c>
      <c r="Q78" s="334">
        <f t="shared" si="5"/>
        <v>0</v>
      </c>
      <c r="R78" s="334">
        <f t="shared" si="6"/>
        <v>39768.477187500008</v>
      </c>
      <c r="S78" s="334">
        <f t="shared" si="7"/>
        <v>198842.38593750005</v>
      </c>
      <c r="T78" s="334">
        <f t="shared" si="8"/>
        <v>19884.238593750008</v>
      </c>
      <c r="U78" s="319"/>
      <c r="V78" s="386">
        <f t="shared" si="9"/>
        <v>0</v>
      </c>
      <c r="W78" s="319">
        <v>1</v>
      </c>
      <c r="X78" s="335">
        <f t="shared" si="10"/>
        <v>10618.199999999999</v>
      </c>
      <c r="Y78" s="381">
        <v>12</v>
      </c>
      <c r="Z78" s="334">
        <f t="shared" si="11"/>
        <v>5309.1</v>
      </c>
      <c r="AA78" s="319"/>
      <c r="AB78" s="334">
        <f t="shared" si="12"/>
        <v>0</v>
      </c>
      <c r="AC78" s="322"/>
      <c r="AD78" s="319"/>
      <c r="AE78" s="334">
        <f t="shared" si="13"/>
        <v>59652.715781250008</v>
      </c>
      <c r="AF78" s="319"/>
      <c r="AG78" s="335">
        <f t="shared" si="14"/>
        <v>0</v>
      </c>
      <c r="AH78" s="381"/>
      <c r="AI78" s="334"/>
      <c r="AJ78" s="334"/>
      <c r="AK78" s="334"/>
      <c r="AL78" s="319"/>
      <c r="AM78" s="334">
        <f t="shared" si="16"/>
        <v>294306.64031250007</v>
      </c>
      <c r="AN78" s="334">
        <f t="shared" si="17"/>
        <v>3531679.6837500008</v>
      </c>
      <c r="AO78" s="221"/>
    </row>
    <row r="79" spans="1:41" s="2" customFormat="1" ht="19.5" customHeight="1">
      <c r="A79" s="381">
        <v>58</v>
      </c>
      <c r="B79" s="378" t="s">
        <v>558</v>
      </c>
      <c r="C79" s="378" t="s">
        <v>481</v>
      </c>
      <c r="D79" s="382" t="s">
        <v>37</v>
      </c>
      <c r="E79" s="383" t="s">
        <v>175</v>
      </c>
      <c r="F79" s="383">
        <v>3.4</v>
      </c>
      <c r="G79" s="384">
        <v>4.2300000000000004</v>
      </c>
      <c r="H79" s="334">
        <f t="shared" si="1"/>
        <v>149716.62000000002</v>
      </c>
      <c r="I79" s="319">
        <v>2</v>
      </c>
      <c r="J79" s="381">
        <v>17697</v>
      </c>
      <c r="K79" s="385">
        <f t="shared" si="2"/>
        <v>0.9375</v>
      </c>
      <c r="L79" s="339">
        <v>15</v>
      </c>
      <c r="M79" s="339">
        <f t="shared" si="3"/>
        <v>140359.33125000002</v>
      </c>
      <c r="N79" s="339">
        <v>0</v>
      </c>
      <c r="O79" s="339">
        <f t="shared" si="4"/>
        <v>0</v>
      </c>
      <c r="P79" s="339">
        <v>0</v>
      </c>
      <c r="Q79" s="334">
        <f t="shared" si="5"/>
        <v>0</v>
      </c>
      <c r="R79" s="334">
        <f t="shared" si="6"/>
        <v>35089.832812500004</v>
      </c>
      <c r="S79" s="334">
        <f t="shared" si="7"/>
        <v>175449.16406250003</v>
      </c>
      <c r="T79" s="334">
        <f t="shared" si="8"/>
        <v>17544.916406250002</v>
      </c>
      <c r="U79" s="319">
        <v>1</v>
      </c>
      <c r="V79" s="386">
        <f t="shared" si="9"/>
        <v>8848.5</v>
      </c>
      <c r="W79" s="319"/>
      <c r="X79" s="335">
        <f t="shared" si="10"/>
        <v>0</v>
      </c>
      <c r="Y79" s="381">
        <v>9</v>
      </c>
      <c r="Z79" s="334">
        <f t="shared" si="11"/>
        <v>3981.8250000000003</v>
      </c>
      <c r="AA79" s="319"/>
      <c r="AB79" s="334">
        <f t="shared" si="12"/>
        <v>0</v>
      </c>
      <c r="AC79" s="322"/>
      <c r="AD79" s="319"/>
      <c r="AE79" s="334">
        <f t="shared" si="13"/>
        <v>52634.74921875001</v>
      </c>
      <c r="AF79" s="319"/>
      <c r="AG79" s="335">
        <f t="shared" si="14"/>
        <v>0</v>
      </c>
      <c r="AH79" s="381"/>
      <c r="AI79" s="334"/>
      <c r="AJ79" s="334"/>
      <c r="AK79" s="334"/>
      <c r="AL79" s="319"/>
      <c r="AM79" s="334">
        <f t="shared" si="16"/>
        <v>258459.15468750006</v>
      </c>
      <c r="AN79" s="334">
        <f t="shared" si="17"/>
        <v>3101509.8562500007</v>
      </c>
      <c r="AO79" s="221"/>
    </row>
    <row r="80" spans="1:41" s="2" customFormat="1" ht="19.5" customHeight="1">
      <c r="A80" s="381">
        <v>59</v>
      </c>
      <c r="B80" s="378" t="s">
        <v>559</v>
      </c>
      <c r="C80" s="378" t="s">
        <v>574</v>
      </c>
      <c r="D80" s="382" t="s">
        <v>37</v>
      </c>
      <c r="E80" s="383" t="s">
        <v>174</v>
      </c>
      <c r="F80" s="383">
        <v>30.7</v>
      </c>
      <c r="G80" s="384">
        <v>5.41</v>
      </c>
      <c r="H80" s="334">
        <f t="shared" si="1"/>
        <v>191481.54</v>
      </c>
      <c r="I80" s="319">
        <v>2</v>
      </c>
      <c r="J80" s="381">
        <v>17697</v>
      </c>
      <c r="K80" s="385">
        <f t="shared" si="2"/>
        <v>1.375</v>
      </c>
      <c r="L80" s="339">
        <v>0</v>
      </c>
      <c r="M80" s="339">
        <f t="shared" si="3"/>
        <v>0</v>
      </c>
      <c r="N80" s="339">
        <v>10</v>
      </c>
      <c r="O80" s="339">
        <f t="shared" si="4"/>
        <v>119675.96250000001</v>
      </c>
      <c r="P80" s="339">
        <v>12</v>
      </c>
      <c r="Q80" s="334">
        <f t="shared" si="5"/>
        <v>143611.155</v>
      </c>
      <c r="R80" s="334">
        <f t="shared" si="6"/>
        <v>65821.779374999998</v>
      </c>
      <c r="S80" s="334">
        <f t="shared" si="7"/>
        <v>329108.89687499998</v>
      </c>
      <c r="T80" s="334">
        <f t="shared" si="8"/>
        <v>32910.889687499999</v>
      </c>
      <c r="U80" s="319"/>
      <c r="V80" s="386">
        <f t="shared" si="9"/>
        <v>0</v>
      </c>
      <c r="W80" s="319">
        <v>1</v>
      </c>
      <c r="X80" s="335">
        <f t="shared" si="10"/>
        <v>10618.199999999999</v>
      </c>
      <c r="Y80" s="381"/>
      <c r="Z80" s="334">
        <f t="shared" si="11"/>
        <v>0</v>
      </c>
      <c r="AA80" s="319">
        <v>12</v>
      </c>
      <c r="AB80" s="334">
        <f t="shared" si="12"/>
        <v>6636.375</v>
      </c>
      <c r="AC80" s="322"/>
      <c r="AD80" s="319"/>
      <c r="AE80" s="334">
        <f t="shared" si="13"/>
        <v>98732.66906249999</v>
      </c>
      <c r="AF80" s="319"/>
      <c r="AG80" s="335">
        <f t="shared" si="14"/>
        <v>0</v>
      </c>
      <c r="AH80" s="381"/>
      <c r="AI80" s="334"/>
      <c r="AJ80" s="334"/>
      <c r="AK80" s="334">
        <f t="shared" si="18"/>
        <v>131643.55875</v>
      </c>
      <c r="AL80" s="319"/>
      <c r="AM80" s="334">
        <f t="shared" si="16"/>
        <v>609650.58937499998</v>
      </c>
      <c r="AN80" s="334">
        <f t="shared" si="17"/>
        <v>7315807.0724999998</v>
      </c>
      <c r="AO80" s="221"/>
    </row>
    <row r="81" spans="1:41" s="2" customFormat="1" ht="19.5" customHeight="1">
      <c r="A81" s="381">
        <v>60</v>
      </c>
      <c r="B81" s="378" t="s">
        <v>618</v>
      </c>
      <c r="C81" s="378" t="s">
        <v>481</v>
      </c>
      <c r="D81" s="382" t="s">
        <v>37</v>
      </c>
      <c r="E81" s="383" t="s">
        <v>178</v>
      </c>
      <c r="F81" s="383">
        <v>23</v>
      </c>
      <c r="G81" s="384">
        <v>5.12</v>
      </c>
      <c r="H81" s="334">
        <f t="shared" si="1"/>
        <v>181217.28</v>
      </c>
      <c r="I81" s="319">
        <v>2</v>
      </c>
      <c r="J81" s="381">
        <v>17697</v>
      </c>
      <c r="K81" s="385">
        <f t="shared" si="2"/>
        <v>1.125</v>
      </c>
      <c r="L81" s="339">
        <v>18</v>
      </c>
      <c r="M81" s="339">
        <f t="shared" si="3"/>
        <v>203869.44</v>
      </c>
      <c r="N81" s="339">
        <v>0</v>
      </c>
      <c r="O81" s="339">
        <f t="shared" si="4"/>
        <v>0</v>
      </c>
      <c r="P81" s="339">
        <v>0</v>
      </c>
      <c r="Q81" s="334">
        <f t="shared" si="5"/>
        <v>0</v>
      </c>
      <c r="R81" s="334">
        <f t="shared" si="6"/>
        <v>50967.360000000001</v>
      </c>
      <c r="S81" s="334">
        <f t="shared" si="7"/>
        <v>254836.8</v>
      </c>
      <c r="T81" s="334">
        <f t="shared" si="8"/>
        <v>25483.68</v>
      </c>
      <c r="U81" s="319">
        <v>1</v>
      </c>
      <c r="V81" s="386">
        <f t="shared" si="9"/>
        <v>8848.5</v>
      </c>
      <c r="W81" s="319"/>
      <c r="X81" s="335">
        <f t="shared" si="10"/>
        <v>0</v>
      </c>
      <c r="Y81" s="381">
        <v>8</v>
      </c>
      <c r="Z81" s="334">
        <f t="shared" si="11"/>
        <v>3539.4</v>
      </c>
      <c r="AA81" s="319"/>
      <c r="AB81" s="334">
        <f t="shared" si="12"/>
        <v>0</v>
      </c>
      <c r="AC81" s="322"/>
      <c r="AD81" s="319"/>
      <c r="AE81" s="334">
        <f t="shared" si="13"/>
        <v>76451.039999999994</v>
      </c>
      <c r="AF81" s="319"/>
      <c r="AG81" s="335">
        <f t="shared" si="14"/>
        <v>0</v>
      </c>
      <c r="AH81" s="381"/>
      <c r="AI81" s="334"/>
      <c r="AJ81" s="334">
        <f t="shared" si="15"/>
        <v>89192.87999999999</v>
      </c>
      <c r="AK81" s="334"/>
      <c r="AL81" s="319"/>
      <c r="AM81" s="334">
        <f t="shared" si="16"/>
        <v>458352.3</v>
      </c>
      <c r="AN81" s="334">
        <f t="shared" si="17"/>
        <v>5500227.5999999996</v>
      </c>
      <c r="AO81" s="221"/>
    </row>
    <row r="82" spans="1:41" s="2" customFormat="1" ht="20.25" customHeight="1">
      <c r="A82" s="381">
        <v>61</v>
      </c>
      <c r="B82" s="378" t="s">
        <v>501</v>
      </c>
      <c r="C82" s="378" t="s">
        <v>502</v>
      </c>
      <c r="D82" s="382" t="s">
        <v>37</v>
      </c>
      <c r="E82" s="383" t="s">
        <v>178</v>
      </c>
      <c r="F82" s="388">
        <v>9.5</v>
      </c>
      <c r="G82" s="384">
        <v>4.79</v>
      </c>
      <c r="H82" s="334">
        <f t="shared" si="1"/>
        <v>169537.26</v>
      </c>
      <c r="I82" s="319">
        <v>2</v>
      </c>
      <c r="J82" s="381">
        <v>17697</v>
      </c>
      <c r="K82" s="385">
        <f t="shared" si="2"/>
        <v>0.25</v>
      </c>
      <c r="L82" s="339">
        <v>0</v>
      </c>
      <c r="M82" s="339">
        <f t="shared" si="3"/>
        <v>0</v>
      </c>
      <c r="N82" s="339">
        <v>4</v>
      </c>
      <c r="O82" s="339">
        <f t="shared" si="4"/>
        <v>42384.315000000002</v>
      </c>
      <c r="P82" s="339">
        <v>0</v>
      </c>
      <c r="Q82" s="334">
        <f t="shared" si="5"/>
        <v>0</v>
      </c>
      <c r="R82" s="334">
        <f t="shared" si="6"/>
        <v>10596.078750000001</v>
      </c>
      <c r="S82" s="334">
        <f t="shared" si="7"/>
        <v>52980.393750000003</v>
      </c>
      <c r="T82" s="334">
        <f t="shared" si="8"/>
        <v>5298.0393750000003</v>
      </c>
      <c r="U82" s="319"/>
      <c r="V82" s="386">
        <f t="shared" si="9"/>
        <v>0</v>
      </c>
      <c r="W82" s="319"/>
      <c r="X82" s="335">
        <f t="shared" si="10"/>
        <v>0</v>
      </c>
      <c r="Y82" s="381"/>
      <c r="Z82" s="334">
        <f t="shared" si="11"/>
        <v>0</v>
      </c>
      <c r="AA82" s="319"/>
      <c r="AB82" s="334">
        <f t="shared" si="12"/>
        <v>0</v>
      </c>
      <c r="AC82" s="392"/>
      <c r="AD82" s="319"/>
      <c r="AE82" s="334">
        <f t="shared" si="13"/>
        <v>15894.118125000001</v>
      </c>
      <c r="AF82" s="319"/>
      <c r="AG82" s="335">
        <f t="shared" si="14"/>
        <v>0</v>
      </c>
      <c r="AH82" s="381"/>
      <c r="AI82" s="334"/>
      <c r="AJ82" s="334">
        <f t="shared" si="15"/>
        <v>18543.137812500001</v>
      </c>
      <c r="AK82" s="334"/>
      <c r="AL82" s="319"/>
      <c r="AM82" s="334">
        <f t="shared" si="16"/>
        <v>92715.689062500009</v>
      </c>
      <c r="AN82" s="334">
        <f t="shared" si="17"/>
        <v>1112588.26875</v>
      </c>
      <c r="AO82" s="221"/>
    </row>
    <row r="83" spans="1:41" s="2" customFormat="1" ht="20.25" customHeight="1">
      <c r="A83" s="381"/>
      <c r="B83" s="378" t="s">
        <v>501</v>
      </c>
      <c r="C83" s="378" t="s">
        <v>502</v>
      </c>
      <c r="D83" s="382" t="s">
        <v>37</v>
      </c>
      <c r="E83" s="383" t="s">
        <v>175</v>
      </c>
      <c r="F83" s="388">
        <v>9.5</v>
      </c>
      <c r="G83" s="384">
        <v>4.33</v>
      </c>
      <c r="H83" s="334">
        <f t="shared" ref="H83" si="20">G83*I83*J83</f>
        <v>153256.01999999999</v>
      </c>
      <c r="I83" s="319">
        <v>2</v>
      </c>
      <c r="J83" s="381">
        <v>17697</v>
      </c>
      <c r="K83" s="385">
        <f t="shared" ref="K83" si="21">SUM(L83+N83+P83)/16</f>
        <v>0.25</v>
      </c>
      <c r="L83" s="339">
        <v>0</v>
      </c>
      <c r="M83" s="339">
        <f t="shared" ref="M83" si="22">G83*I83*J83/16*L83</f>
        <v>0</v>
      </c>
      <c r="N83" s="339">
        <v>4</v>
      </c>
      <c r="O83" s="339">
        <f t="shared" ref="O83" si="23">G83*I83*J83/16*N83</f>
        <v>38314.004999999997</v>
      </c>
      <c r="P83" s="339">
        <v>0</v>
      </c>
      <c r="Q83" s="334">
        <f t="shared" ref="Q83" si="24">G83*I83*J83/16*P83</f>
        <v>0</v>
      </c>
      <c r="R83" s="334">
        <f t="shared" ref="R83" si="25">(M83+O83+Q83)*25%</f>
        <v>9578.5012499999993</v>
      </c>
      <c r="S83" s="334">
        <f t="shared" ref="S83" si="26">M83+O83+Q83+R83</f>
        <v>47892.506249999999</v>
      </c>
      <c r="T83" s="334">
        <f t="shared" ref="T83" si="27">S83*0.1</f>
        <v>4789.2506249999997</v>
      </c>
      <c r="U83" s="319"/>
      <c r="V83" s="386">
        <f t="shared" ref="V83" si="28">17697*50%*U83</f>
        <v>0</v>
      </c>
      <c r="W83" s="319"/>
      <c r="X83" s="335">
        <f t="shared" ref="X83" si="29">17697*60%*W83</f>
        <v>0</v>
      </c>
      <c r="Y83" s="381"/>
      <c r="Z83" s="334">
        <f t="shared" ref="Z83" si="30">17697*40%/16*Y83</f>
        <v>0</v>
      </c>
      <c r="AA83" s="319">
        <v>2</v>
      </c>
      <c r="AB83" s="334">
        <f t="shared" ref="AB83" si="31">17697*50%/16*AA83</f>
        <v>1106.0625</v>
      </c>
      <c r="AC83" s="392"/>
      <c r="AD83" s="319"/>
      <c r="AE83" s="334">
        <f t="shared" ref="AE83" si="32">S83*0.3</f>
        <v>14367.751875</v>
      </c>
      <c r="AF83" s="319"/>
      <c r="AG83" s="335">
        <f t="shared" ref="AG83" si="33">17697*40%/16*AF83</f>
        <v>0</v>
      </c>
      <c r="AH83" s="381"/>
      <c r="AI83" s="334"/>
      <c r="AJ83" s="334"/>
      <c r="AK83" s="334"/>
      <c r="AL83" s="319"/>
      <c r="AM83" s="334">
        <f t="shared" ref="AM83" si="34">S83+T83+V83+X83+Z83+AB83+AC83+AD83+AE83+AG83+AH83+AI83+AJ83+AK83+AL83</f>
        <v>68155.571249999994</v>
      </c>
      <c r="AN83" s="334">
        <f t="shared" ref="AN83" si="35">AM83*12</f>
        <v>817866.85499999998</v>
      </c>
      <c r="AO83" s="221"/>
    </row>
    <row r="84" spans="1:41" s="2" customFormat="1" ht="19.5" customHeight="1">
      <c r="A84" s="381">
        <v>62</v>
      </c>
      <c r="B84" s="378" t="s">
        <v>560</v>
      </c>
      <c r="C84" s="378" t="s">
        <v>481</v>
      </c>
      <c r="D84" s="382" t="s">
        <v>37</v>
      </c>
      <c r="E84" s="383" t="s">
        <v>174</v>
      </c>
      <c r="F84" s="383">
        <v>17.11</v>
      </c>
      <c r="G84" s="384">
        <v>5.24</v>
      </c>
      <c r="H84" s="334">
        <f t="shared" si="1"/>
        <v>185464.56</v>
      </c>
      <c r="I84" s="319">
        <v>2</v>
      </c>
      <c r="J84" s="381">
        <v>17697</v>
      </c>
      <c r="K84" s="385">
        <f t="shared" si="2"/>
        <v>1.0625</v>
      </c>
      <c r="L84" s="339">
        <v>17</v>
      </c>
      <c r="M84" s="339">
        <f t="shared" si="3"/>
        <v>197056.095</v>
      </c>
      <c r="N84" s="339">
        <v>0</v>
      </c>
      <c r="O84" s="339">
        <f t="shared" si="4"/>
        <v>0</v>
      </c>
      <c r="P84" s="339">
        <v>0</v>
      </c>
      <c r="Q84" s="334">
        <f t="shared" si="5"/>
        <v>0</v>
      </c>
      <c r="R84" s="334">
        <f t="shared" si="6"/>
        <v>49264.02375</v>
      </c>
      <c r="S84" s="334">
        <f t="shared" si="7"/>
        <v>246320.11874999999</v>
      </c>
      <c r="T84" s="334">
        <f t="shared" si="8"/>
        <v>24632.011875</v>
      </c>
      <c r="U84" s="319">
        <v>1</v>
      </c>
      <c r="V84" s="386">
        <f t="shared" si="9"/>
        <v>8848.5</v>
      </c>
      <c r="W84" s="319"/>
      <c r="X84" s="335">
        <f t="shared" si="10"/>
        <v>0</v>
      </c>
      <c r="Y84" s="381">
        <v>9</v>
      </c>
      <c r="Z84" s="334">
        <f t="shared" si="11"/>
        <v>3981.8250000000003</v>
      </c>
      <c r="AA84" s="319"/>
      <c r="AB84" s="334">
        <f t="shared" si="12"/>
        <v>0</v>
      </c>
      <c r="AC84" s="322"/>
      <c r="AD84" s="319"/>
      <c r="AE84" s="334">
        <f t="shared" si="13"/>
        <v>73896.03562499999</v>
      </c>
      <c r="AF84" s="319"/>
      <c r="AG84" s="335">
        <f t="shared" si="14"/>
        <v>0</v>
      </c>
      <c r="AH84" s="381"/>
      <c r="AI84" s="334"/>
      <c r="AJ84" s="334"/>
      <c r="AK84" s="334">
        <f t="shared" si="18"/>
        <v>98528.047500000001</v>
      </c>
      <c r="AL84" s="319"/>
      <c r="AM84" s="334">
        <f t="shared" si="16"/>
        <v>456206.53874999995</v>
      </c>
      <c r="AN84" s="334">
        <f t="shared" si="17"/>
        <v>5474478.4649999999</v>
      </c>
      <c r="AO84" s="221"/>
    </row>
    <row r="85" spans="1:41" s="2" customFormat="1" ht="19.5" customHeight="1">
      <c r="A85" s="381">
        <v>63</v>
      </c>
      <c r="B85" s="378" t="s">
        <v>503</v>
      </c>
      <c r="C85" s="378" t="s">
        <v>483</v>
      </c>
      <c r="D85" s="382" t="s">
        <v>37</v>
      </c>
      <c r="E85" s="383" t="s">
        <v>174</v>
      </c>
      <c r="F85" s="383">
        <v>26</v>
      </c>
      <c r="G85" s="384">
        <v>5.41</v>
      </c>
      <c r="H85" s="334">
        <f t="shared" si="1"/>
        <v>191481.54</v>
      </c>
      <c r="I85" s="319">
        <v>2</v>
      </c>
      <c r="J85" s="381">
        <v>17697</v>
      </c>
      <c r="K85" s="385">
        <f t="shared" si="2"/>
        <v>0.5</v>
      </c>
      <c r="L85" s="339">
        <v>0</v>
      </c>
      <c r="M85" s="339">
        <f t="shared" si="3"/>
        <v>0</v>
      </c>
      <c r="N85" s="339">
        <v>6</v>
      </c>
      <c r="O85" s="339">
        <f t="shared" si="4"/>
        <v>71805.577499999999</v>
      </c>
      <c r="P85" s="339">
        <v>2</v>
      </c>
      <c r="Q85" s="334">
        <f t="shared" si="5"/>
        <v>23935.192500000001</v>
      </c>
      <c r="R85" s="334">
        <f t="shared" si="6"/>
        <v>23935.192500000001</v>
      </c>
      <c r="S85" s="334">
        <f t="shared" si="7"/>
        <v>119675.96250000001</v>
      </c>
      <c r="T85" s="334">
        <f t="shared" si="8"/>
        <v>11967.596250000002</v>
      </c>
      <c r="U85" s="319"/>
      <c r="V85" s="386">
        <f t="shared" si="9"/>
        <v>0</v>
      </c>
      <c r="W85" s="319"/>
      <c r="X85" s="335">
        <f t="shared" si="10"/>
        <v>0</v>
      </c>
      <c r="Y85" s="381"/>
      <c r="Z85" s="334">
        <f t="shared" si="11"/>
        <v>0</v>
      </c>
      <c r="AA85" s="319"/>
      <c r="AB85" s="334">
        <f t="shared" si="12"/>
        <v>0</v>
      </c>
      <c r="AC85" s="392"/>
      <c r="AD85" s="319"/>
      <c r="AE85" s="334">
        <f t="shared" si="13"/>
        <v>35902.78875</v>
      </c>
      <c r="AF85" s="319"/>
      <c r="AG85" s="335">
        <f t="shared" si="14"/>
        <v>0</v>
      </c>
      <c r="AH85" s="381"/>
      <c r="AI85" s="334"/>
      <c r="AJ85" s="334"/>
      <c r="AK85" s="334">
        <f t="shared" si="18"/>
        <v>47870.385000000009</v>
      </c>
      <c r="AL85" s="319"/>
      <c r="AM85" s="334">
        <f t="shared" si="16"/>
        <v>215416.73250000004</v>
      </c>
      <c r="AN85" s="334">
        <f t="shared" si="17"/>
        <v>2585000.7900000005</v>
      </c>
      <c r="AO85" s="221"/>
    </row>
    <row r="86" spans="1:41" s="2" customFormat="1" ht="19.5" customHeight="1">
      <c r="A86" s="381">
        <v>64</v>
      </c>
      <c r="B86" s="378" t="s">
        <v>638</v>
      </c>
      <c r="C86" s="378" t="s">
        <v>530</v>
      </c>
      <c r="D86" s="382" t="s">
        <v>37</v>
      </c>
      <c r="E86" s="383" t="s">
        <v>177</v>
      </c>
      <c r="F86" s="383">
        <v>2.11</v>
      </c>
      <c r="G86" s="384">
        <v>4.51</v>
      </c>
      <c r="H86" s="334">
        <f t="shared" si="1"/>
        <v>159626.94</v>
      </c>
      <c r="I86" s="319">
        <v>2</v>
      </c>
      <c r="J86" s="381">
        <v>17697</v>
      </c>
      <c r="K86" s="385">
        <f t="shared" si="2"/>
        <v>1.0625</v>
      </c>
      <c r="L86" s="339">
        <v>0</v>
      </c>
      <c r="M86" s="339">
        <f t="shared" si="3"/>
        <v>0</v>
      </c>
      <c r="N86" s="339">
        <v>11</v>
      </c>
      <c r="O86" s="339">
        <f t="shared" si="4"/>
        <v>109743.52125000001</v>
      </c>
      <c r="P86" s="339">
        <v>6</v>
      </c>
      <c r="Q86" s="334">
        <f t="shared" si="5"/>
        <v>59860.102500000001</v>
      </c>
      <c r="R86" s="334">
        <f t="shared" si="6"/>
        <v>42400.9059375</v>
      </c>
      <c r="S86" s="334">
        <f t="shared" si="7"/>
        <v>212004.52968750001</v>
      </c>
      <c r="T86" s="334">
        <f t="shared" si="8"/>
        <v>21200.452968750003</v>
      </c>
      <c r="U86" s="319"/>
      <c r="V86" s="386">
        <f t="shared" si="9"/>
        <v>0</v>
      </c>
      <c r="W86" s="319"/>
      <c r="X86" s="335">
        <f t="shared" si="10"/>
        <v>0</v>
      </c>
      <c r="Y86" s="381"/>
      <c r="Z86" s="334">
        <f t="shared" si="11"/>
        <v>0</v>
      </c>
      <c r="AA86" s="319"/>
      <c r="AB86" s="334">
        <f t="shared" si="12"/>
        <v>0</v>
      </c>
      <c r="AC86" s="380">
        <v>34500</v>
      </c>
      <c r="AD86" s="319"/>
      <c r="AE86" s="334">
        <f t="shared" si="13"/>
        <v>63601.358906249996</v>
      </c>
      <c r="AF86" s="319"/>
      <c r="AG86" s="335">
        <f t="shared" si="14"/>
        <v>0</v>
      </c>
      <c r="AH86" s="381">
        <v>3539</v>
      </c>
      <c r="AI86" s="334">
        <f t="shared" ref="AI86" si="36">S86*30%</f>
        <v>63601.358906249996</v>
      </c>
      <c r="AJ86" s="334"/>
      <c r="AK86" s="334"/>
      <c r="AL86" s="319"/>
      <c r="AM86" s="334">
        <f t="shared" si="16"/>
        <v>398446.70046874997</v>
      </c>
      <c r="AN86" s="334">
        <f t="shared" si="17"/>
        <v>4781360.4056249997</v>
      </c>
      <c r="AO86" s="221"/>
    </row>
    <row r="87" spans="1:41" s="2" customFormat="1" ht="19.5" customHeight="1">
      <c r="A87" s="381">
        <v>65</v>
      </c>
      <c r="B87" s="378" t="s">
        <v>561</v>
      </c>
      <c r="C87" s="378" t="s">
        <v>481</v>
      </c>
      <c r="D87" s="382" t="s">
        <v>37</v>
      </c>
      <c r="E87" s="383" t="s">
        <v>178</v>
      </c>
      <c r="F87" s="383">
        <v>23</v>
      </c>
      <c r="G87" s="384">
        <v>5.12</v>
      </c>
      <c r="H87" s="334">
        <f t="shared" ref="H87:H97" si="37">G87*I87*J87</f>
        <v>181217.28</v>
      </c>
      <c r="I87" s="319">
        <v>2</v>
      </c>
      <c r="J87" s="381">
        <v>17697</v>
      </c>
      <c r="K87" s="385">
        <f t="shared" ref="K87:K97" si="38">SUM(L87+N87+P87)/16</f>
        <v>1.0625</v>
      </c>
      <c r="L87" s="339">
        <v>17</v>
      </c>
      <c r="M87" s="339">
        <f t="shared" ref="M87:M97" si="39">G87*I87*J87/16*L87</f>
        <v>192543.35999999999</v>
      </c>
      <c r="N87" s="339">
        <v>0</v>
      </c>
      <c r="O87" s="339">
        <f t="shared" ref="O87:O97" si="40">G87*I87*J87/16*N87</f>
        <v>0</v>
      </c>
      <c r="P87" s="339">
        <v>0</v>
      </c>
      <c r="Q87" s="334">
        <f t="shared" ref="Q87:Q97" si="41">G87*I87*J87/16*P87</f>
        <v>0</v>
      </c>
      <c r="R87" s="334">
        <f t="shared" si="6"/>
        <v>48135.839999999997</v>
      </c>
      <c r="S87" s="334">
        <f t="shared" si="7"/>
        <v>240679.19999999998</v>
      </c>
      <c r="T87" s="334">
        <f t="shared" si="8"/>
        <v>24067.919999999998</v>
      </c>
      <c r="U87" s="319">
        <v>1</v>
      </c>
      <c r="V87" s="386">
        <f t="shared" si="9"/>
        <v>8848.5</v>
      </c>
      <c r="W87" s="319"/>
      <c r="X87" s="335">
        <f t="shared" si="10"/>
        <v>0</v>
      </c>
      <c r="Y87" s="381">
        <v>9</v>
      </c>
      <c r="Z87" s="334">
        <f t="shared" si="11"/>
        <v>3981.8250000000003</v>
      </c>
      <c r="AA87" s="319"/>
      <c r="AB87" s="334">
        <f t="shared" si="12"/>
        <v>0</v>
      </c>
      <c r="AC87" s="322"/>
      <c r="AD87" s="319"/>
      <c r="AE87" s="334">
        <f t="shared" si="13"/>
        <v>72203.759999999995</v>
      </c>
      <c r="AF87" s="319"/>
      <c r="AG87" s="335">
        <f t="shared" si="14"/>
        <v>0</v>
      </c>
      <c r="AH87" s="381"/>
      <c r="AI87" s="334"/>
      <c r="AJ87" s="334">
        <f t="shared" si="15"/>
        <v>84237.719999999987</v>
      </c>
      <c r="AK87" s="334"/>
      <c r="AL87" s="319"/>
      <c r="AM87" s="334">
        <f t="shared" si="16"/>
        <v>434018.92499999999</v>
      </c>
      <c r="AN87" s="334">
        <f t="shared" si="17"/>
        <v>5208227.0999999996</v>
      </c>
      <c r="AO87" s="221"/>
    </row>
    <row r="88" spans="1:41" s="2" customFormat="1" ht="19.5" customHeight="1">
      <c r="A88" s="381">
        <v>66</v>
      </c>
      <c r="B88" s="379" t="s">
        <v>562</v>
      </c>
      <c r="C88" s="379" t="s">
        <v>568</v>
      </c>
      <c r="D88" s="382" t="s">
        <v>37</v>
      </c>
      <c r="E88" s="383" t="s">
        <v>174</v>
      </c>
      <c r="F88" s="391">
        <v>18</v>
      </c>
      <c r="G88" s="384">
        <v>5.24</v>
      </c>
      <c r="H88" s="334">
        <f t="shared" si="37"/>
        <v>185464.56</v>
      </c>
      <c r="I88" s="319">
        <v>2</v>
      </c>
      <c r="J88" s="381">
        <v>17697</v>
      </c>
      <c r="K88" s="385">
        <f t="shared" si="38"/>
        <v>1.5</v>
      </c>
      <c r="L88" s="339">
        <v>0</v>
      </c>
      <c r="M88" s="339">
        <f t="shared" si="39"/>
        <v>0</v>
      </c>
      <c r="N88" s="339">
        <v>24</v>
      </c>
      <c r="O88" s="339">
        <f t="shared" si="40"/>
        <v>278196.83999999997</v>
      </c>
      <c r="P88" s="339">
        <v>0</v>
      </c>
      <c r="Q88" s="334">
        <f t="shared" si="41"/>
        <v>0</v>
      </c>
      <c r="R88" s="334">
        <f t="shared" si="6"/>
        <v>69549.209999999992</v>
      </c>
      <c r="S88" s="334">
        <f t="shared" si="7"/>
        <v>347746.04999999993</v>
      </c>
      <c r="T88" s="334">
        <f t="shared" si="8"/>
        <v>34774.604999999996</v>
      </c>
      <c r="U88" s="319"/>
      <c r="V88" s="386">
        <f t="shared" si="9"/>
        <v>0</v>
      </c>
      <c r="W88" s="319">
        <v>1</v>
      </c>
      <c r="X88" s="335">
        <f t="shared" si="10"/>
        <v>10618.199999999999</v>
      </c>
      <c r="Y88" s="381"/>
      <c r="Z88" s="334">
        <f t="shared" si="11"/>
        <v>0</v>
      </c>
      <c r="AA88" s="319"/>
      <c r="AB88" s="334">
        <f t="shared" si="12"/>
        <v>0</v>
      </c>
      <c r="AC88" s="322"/>
      <c r="AD88" s="319"/>
      <c r="AE88" s="334">
        <f t="shared" si="13"/>
        <v>104323.81499999997</v>
      </c>
      <c r="AF88" s="319"/>
      <c r="AG88" s="335">
        <f t="shared" si="14"/>
        <v>0</v>
      </c>
      <c r="AH88" s="381">
        <v>3539</v>
      </c>
      <c r="AI88" s="334"/>
      <c r="AJ88" s="334"/>
      <c r="AK88" s="334">
        <f t="shared" ref="AK88:AK97" si="42">S88*40%</f>
        <v>139098.41999999998</v>
      </c>
      <c r="AL88" s="319"/>
      <c r="AM88" s="334">
        <f t="shared" si="16"/>
        <v>640100.08999999985</v>
      </c>
      <c r="AN88" s="334">
        <f t="shared" ref="AN88:AN95" si="43">AM88*12</f>
        <v>7681201.0799999982</v>
      </c>
      <c r="AO88" s="221"/>
    </row>
    <row r="89" spans="1:41" s="2" customFormat="1" ht="19.5" customHeight="1">
      <c r="A89" s="381">
        <v>67</v>
      </c>
      <c r="B89" s="379" t="s">
        <v>563</v>
      </c>
      <c r="C89" s="378" t="s">
        <v>487</v>
      </c>
      <c r="D89" s="382" t="s">
        <v>37</v>
      </c>
      <c r="E89" s="383" t="s">
        <v>178</v>
      </c>
      <c r="F89" s="393">
        <v>29.1</v>
      </c>
      <c r="G89" s="388">
        <v>5.2</v>
      </c>
      <c r="H89" s="334">
        <f>G89*I89*J89</f>
        <v>184048.80000000002</v>
      </c>
      <c r="I89" s="319">
        <v>2</v>
      </c>
      <c r="J89" s="381">
        <v>17697</v>
      </c>
      <c r="K89" s="385">
        <f t="shared" si="38"/>
        <v>1.25</v>
      </c>
      <c r="L89" s="339">
        <v>0</v>
      </c>
      <c r="M89" s="339">
        <f t="shared" si="39"/>
        <v>0</v>
      </c>
      <c r="N89" s="339">
        <v>20</v>
      </c>
      <c r="O89" s="339">
        <f t="shared" si="40"/>
        <v>230061.00000000003</v>
      </c>
      <c r="P89" s="339">
        <v>0</v>
      </c>
      <c r="Q89" s="334">
        <f t="shared" si="41"/>
        <v>0</v>
      </c>
      <c r="R89" s="334">
        <f t="shared" ref="R89:R97" si="44">(M89+O89+Q89)*25%</f>
        <v>57515.250000000007</v>
      </c>
      <c r="S89" s="334">
        <f t="shared" ref="S89:S97" si="45">M89+O89+Q89+R89</f>
        <v>287576.25000000006</v>
      </c>
      <c r="T89" s="334">
        <f t="shared" ref="T89:T97" si="46">S89*0.1</f>
        <v>28757.625000000007</v>
      </c>
      <c r="U89" s="319"/>
      <c r="V89" s="386">
        <f t="shared" ref="V89:V97" si="47">17697*50%*U89</f>
        <v>0</v>
      </c>
      <c r="W89" s="319"/>
      <c r="X89" s="335">
        <f t="shared" ref="X89:X97" si="48">17697*60%*W89</f>
        <v>0</v>
      </c>
      <c r="Y89" s="381">
        <v>20</v>
      </c>
      <c r="Z89" s="334">
        <f t="shared" ref="Z89:Z97" si="49">17697*40%/16*Y89</f>
        <v>8848.5</v>
      </c>
      <c r="AA89" s="319"/>
      <c r="AB89" s="334">
        <f t="shared" ref="AB89:AB97" si="50">17697*50%/16*AA89</f>
        <v>0</v>
      </c>
      <c r="AC89" s="322"/>
      <c r="AD89" s="319"/>
      <c r="AE89" s="334">
        <f t="shared" ref="AE89:AE97" si="51">S89*0.3</f>
        <v>86272.875000000015</v>
      </c>
      <c r="AF89" s="319"/>
      <c r="AG89" s="335">
        <f t="shared" ref="AG89:AG97" si="52">17697*40%/16*AF89</f>
        <v>0</v>
      </c>
      <c r="AH89" s="381"/>
      <c r="AI89" s="334"/>
      <c r="AJ89" s="334">
        <f t="shared" ref="AJ89" si="53">S89*35%</f>
        <v>100651.68750000001</v>
      </c>
      <c r="AK89" s="334"/>
      <c r="AL89" s="319"/>
      <c r="AM89" s="334">
        <f t="shared" ref="AM89:AM97" si="54">S89+T89+V89+X89+Z89+AB89+AC89+AD89+AE89+AG89+AH89+AI89+AJ89+AK89+AL89</f>
        <v>512106.93750000006</v>
      </c>
      <c r="AN89" s="334">
        <f t="shared" si="43"/>
        <v>6145283.2500000009</v>
      </c>
      <c r="AO89" s="221"/>
    </row>
    <row r="90" spans="1:41" s="2" customFormat="1" ht="19.5" customHeight="1">
      <c r="A90" s="381">
        <v>68</v>
      </c>
      <c r="B90" s="379" t="s">
        <v>629</v>
      </c>
      <c r="C90" s="378" t="s">
        <v>480</v>
      </c>
      <c r="D90" s="382" t="s">
        <v>37</v>
      </c>
      <c r="E90" s="383" t="s">
        <v>175</v>
      </c>
      <c r="F90" s="394">
        <v>0.9</v>
      </c>
      <c r="G90" s="388">
        <v>4.0999999999999996</v>
      </c>
      <c r="H90" s="334">
        <f t="shared" si="37"/>
        <v>145115.4</v>
      </c>
      <c r="I90" s="319">
        <v>2</v>
      </c>
      <c r="J90" s="381">
        <v>17697</v>
      </c>
      <c r="K90" s="385">
        <f t="shared" si="38"/>
        <v>0.8125</v>
      </c>
      <c r="L90" s="339">
        <v>2</v>
      </c>
      <c r="M90" s="339">
        <f t="shared" si="39"/>
        <v>18139.424999999999</v>
      </c>
      <c r="N90" s="339">
        <v>11</v>
      </c>
      <c r="O90" s="339">
        <f t="shared" si="40"/>
        <v>99766.837499999994</v>
      </c>
      <c r="P90" s="339">
        <v>0</v>
      </c>
      <c r="Q90" s="334">
        <f t="shared" si="41"/>
        <v>0</v>
      </c>
      <c r="R90" s="334">
        <f t="shared" si="44"/>
        <v>29476.565624999999</v>
      </c>
      <c r="S90" s="334">
        <f t="shared" si="45"/>
        <v>147382.828125</v>
      </c>
      <c r="T90" s="334">
        <f t="shared" si="46"/>
        <v>14738.282812500001</v>
      </c>
      <c r="U90" s="319"/>
      <c r="V90" s="386"/>
      <c r="W90" s="319"/>
      <c r="X90" s="335"/>
      <c r="Y90" s="381">
        <v>7</v>
      </c>
      <c r="Z90" s="334">
        <f t="shared" si="49"/>
        <v>3096.9749999999999</v>
      </c>
      <c r="AA90" s="319"/>
      <c r="AB90" s="334">
        <f t="shared" si="50"/>
        <v>0</v>
      </c>
      <c r="AC90" s="322"/>
      <c r="AD90" s="319"/>
      <c r="AE90" s="334">
        <f t="shared" si="51"/>
        <v>44214.848437499997</v>
      </c>
      <c r="AF90" s="319"/>
      <c r="AG90" s="335">
        <f t="shared" si="52"/>
        <v>0</v>
      </c>
      <c r="AH90" s="381"/>
      <c r="AI90" s="334"/>
      <c r="AJ90" s="334"/>
      <c r="AK90" s="334"/>
      <c r="AL90" s="319"/>
      <c r="AM90" s="334">
        <f t="shared" si="54"/>
        <v>209432.93437500001</v>
      </c>
      <c r="AN90" s="334">
        <f t="shared" si="43"/>
        <v>2513195.2125000004</v>
      </c>
      <c r="AO90" s="221"/>
    </row>
    <row r="91" spans="1:41" s="2" customFormat="1" ht="19.5" customHeight="1">
      <c r="A91" s="381">
        <v>69</v>
      </c>
      <c r="B91" s="379" t="s">
        <v>564</v>
      </c>
      <c r="C91" s="379" t="s">
        <v>487</v>
      </c>
      <c r="D91" s="382" t="s">
        <v>37</v>
      </c>
      <c r="E91" s="383" t="s">
        <v>177</v>
      </c>
      <c r="F91" s="391">
        <v>2.11</v>
      </c>
      <c r="G91" s="384">
        <v>4.51</v>
      </c>
      <c r="H91" s="334">
        <f t="shared" si="37"/>
        <v>159626.94</v>
      </c>
      <c r="I91" s="319">
        <v>2</v>
      </c>
      <c r="J91" s="381">
        <v>17697</v>
      </c>
      <c r="K91" s="385">
        <f t="shared" si="38"/>
        <v>1.375</v>
      </c>
      <c r="L91" s="339">
        <v>0</v>
      </c>
      <c r="M91" s="339">
        <f t="shared" si="39"/>
        <v>0</v>
      </c>
      <c r="N91" s="339">
        <v>18</v>
      </c>
      <c r="O91" s="339">
        <f t="shared" si="40"/>
        <v>179580.3075</v>
      </c>
      <c r="P91" s="339">
        <v>4</v>
      </c>
      <c r="Q91" s="334">
        <f t="shared" si="41"/>
        <v>39906.735000000001</v>
      </c>
      <c r="R91" s="334">
        <f t="shared" si="44"/>
        <v>54871.760624999995</v>
      </c>
      <c r="S91" s="334">
        <f t="shared" si="45"/>
        <v>274358.80312499998</v>
      </c>
      <c r="T91" s="334">
        <f t="shared" si="46"/>
        <v>27435.880312499998</v>
      </c>
      <c r="U91" s="319"/>
      <c r="V91" s="386">
        <f t="shared" si="47"/>
        <v>0</v>
      </c>
      <c r="W91" s="319">
        <v>1</v>
      </c>
      <c r="X91" s="335">
        <f t="shared" si="48"/>
        <v>10618.199999999999</v>
      </c>
      <c r="Y91" s="381">
        <v>19</v>
      </c>
      <c r="Z91" s="334">
        <f t="shared" si="49"/>
        <v>8406.0750000000007</v>
      </c>
      <c r="AA91" s="319"/>
      <c r="AB91" s="334">
        <f t="shared" si="50"/>
        <v>0</v>
      </c>
      <c r="AC91" s="322"/>
      <c r="AD91" s="319"/>
      <c r="AE91" s="334">
        <f t="shared" si="51"/>
        <v>82307.640937499993</v>
      </c>
      <c r="AF91" s="319"/>
      <c r="AG91" s="335">
        <f t="shared" si="52"/>
        <v>0</v>
      </c>
      <c r="AH91" s="381"/>
      <c r="AI91" s="334">
        <f t="shared" ref="AI91:AI93" si="55">S91*30%</f>
        <v>82307.640937499993</v>
      </c>
      <c r="AJ91" s="334"/>
      <c r="AK91" s="334"/>
      <c r="AL91" s="319"/>
      <c r="AM91" s="334">
        <f t="shared" si="54"/>
        <v>485434.24031249998</v>
      </c>
      <c r="AN91" s="334">
        <f t="shared" si="43"/>
        <v>5825210.88375</v>
      </c>
      <c r="AO91" s="221"/>
    </row>
    <row r="92" spans="1:41" s="2" customFormat="1" ht="19.5" customHeight="1">
      <c r="A92" s="381">
        <v>70</v>
      </c>
      <c r="B92" s="379" t="s">
        <v>506</v>
      </c>
      <c r="C92" s="379" t="s">
        <v>481</v>
      </c>
      <c r="D92" s="382" t="s">
        <v>37</v>
      </c>
      <c r="E92" s="383" t="s">
        <v>175</v>
      </c>
      <c r="F92" s="393">
        <v>5.0999999999999996</v>
      </c>
      <c r="G92" s="384">
        <v>4.2699999999999996</v>
      </c>
      <c r="H92" s="334">
        <f t="shared" si="37"/>
        <v>151132.37999999998</v>
      </c>
      <c r="I92" s="319">
        <v>2</v>
      </c>
      <c r="J92" s="381">
        <v>17697</v>
      </c>
      <c r="K92" s="385">
        <f t="shared" si="38"/>
        <v>0.3125</v>
      </c>
      <c r="L92" s="339">
        <v>5</v>
      </c>
      <c r="M92" s="339">
        <f t="shared" si="39"/>
        <v>47228.868749999994</v>
      </c>
      <c r="N92" s="339">
        <v>0</v>
      </c>
      <c r="O92" s="339">
        <f t="shared" si="40"/>
        <v>0</v>
      </c>
      <c r="P92" s="339">
        <v>0</v>
      </c>
      <c r="Q92" s="334">
        <f t="shared" si="41"/>
        <v>0</v>
      </c>
      <c r="R92" s="334">
        <f t="shared" si="44"/>
        <v>11807.217187499999</v>
      </c>
      <c r="S92" s="334">
        <f t="shared" si="45"/>
        <v>59036.085937499993</v>
      </c>
      <c r="T92" s="334">
        <f t="shared" si="46"/>
        <v>5903.6085937499993</v>
      </c>
      <c r="U92" s="319"/>
      <c r="V92" s="386">
        <f t="shared" si="47"/>
        <v>0</v>
      </c>
      <c r="W92" s="319"/>
      <c r="X92" s="335">
        <f t="shared" si="48"/>
        <v>0</v>
      </c>
      <c r="Y92" s="381"/>
      <c r="Z92" s="334">
        <f t="shared" si="49"/>
        <v>0</v>
      </c>
      <c r="AA92" s="319"/>
      <c r="AB92" s="334">
        <f t="shared" si="50"/>
        <v>0</v>
      </c>
      <c r="AC92" s="392"/>
      <c r="AD92" s="319"/>
      <c r="AE92" s="334">
        <f t="shared" si="51"/>
        <v>17710.825781249998</v>
      </c>
      <c r="AF92" s="319"/>
      <c r="AG92" s="335">
        <f t="shared" si="52"/>
        <v>0</v>
      </c>
      <c r="AH92" s="381"/>
      <c r="AI92" s="334"/>
      <c r="AJ92" s="334"/>
      <c r="AK92" s="334"/>
      <c r="AL92" s="319"/>
      <c r="AM92" s="334">
        <f t="shared" si="54"/>
        <v>82650.520312499983</v>
      </c>
      <c r="AN92" s="334">
        <f t="shared" si="43"/>
        <v>991806.24374999979</v>
      </c>
      <c r="AO92" s="221"/>
    </row>
    <row r="93" spans="1:41" s="2" customFormat="1" ht="19.5" customHeight="1">
      <c r="A93" s="381">
        <v>71</v>
      </c>
      <c r="B93" s="378" t="s">
        <v>565</v>
      </c>
      <c r="C93" s="378" t="s">
        <v>484</v>
      </c>
      <c r="D93" s="382" t="s">
        <v>37</v>
      </c>
      <c r="E93" s="383" t="s">
        <v>177</v>
      </c>
      <c r="F93" s="383">
        <v>19.3</v>
      </c>
      <c r="G93" s="384">
        <v>4.99</v>
      </c>
      <c r="H93" s="334">
        <f t="shared" si="37"/>
        <v>176616.06</v>
      </c>
      <c r="I93" s="319">
        <v>2</v>
      </c>
      <c r="J93" s="381">
        <v>17697</v>
      </c>
      <c r="K93" s="385">
        <f t="shared" si="38"/>
        <v>1.4375</v>
      </c>
      <c r="L93" s="339"/>
      <c r="M93" s="339">
        <f t="shared" si="39"/>
        <v>0</v>
      </c>
      <c r="N93" s="339">
        <v>23</v>
      </c>
      <c r="O93" s="339">
        <f t="shared" si="40"/>
        <v>253885.58624999999</v>
      </c>
      <c r="P93" s="339">
        <v>0</v>
      </c>
      <c r="Q93" s="334">
        <f t="shared" si="41"/>
        <v>0</v>
      </c>
      <c r="R93" s="334">
        <f t="shared" si="44"/>
        <v>63471.396562499998</v>
      </c>
      <c r="S93" s="334">
        <f t="shared" si="45"/>
        <v>317356.98281249998</v>
      </c>
      <c r="T93" s="334">
        <f t="shared" si="46"/>
        <v>31735.698281249999</v>
      </c>
      <c r="U93" s="319"/>
      <c r="V93" s="386">
        <f t="shared" si="47"/>
        <v>0</v>
      </c>
      <c r="W93" s="319"/>
      <c r="X93" s="335">
        <f t="shared" si="48"/>
        <v>0</v>
      </c>
      <c r="Y93" s="381"/>
      <c r="Z93" s="334">
        <f t="shared" si="49"/>
        <v>0</v>
      </c>
      <c r="AA93" s="319">
        <v>9</v>
      </c>
      <c r="AB93" s="334">
        <f t="shared" si="50"/>
        <v>4977.28125</v>
      </c>
      <c r="AC93" s="322"/>
      <c r="AD93" s="319"/>
      <c r="AE93" s="334">
        <f t="shared" si="51"/>
        <v>95207.09484374999</v>
      </c>
      <c r="AF93" s="319"/>
      <c r="AG93" s="335">
        <f t="shared" si="52"/>
        <v>0</v>
      </c>
      <c r="AH93" s="381"/>
      <c r="AI93" s="334">
        <f t="shared" si="55"/>
        <v>95207.09484374999</v>
      </c>
      <c r="AJ93" s="334"/>
      <c r="AK93" s="334"/>
      <c r="AL93" s="319"/>
      <c r="AM93" s="334">
        <f t="shared" si="54"/>
        <v>544484.15203124995</v>
      </c>
      <c r="AN93" s="334">
        <f t="shared" si="43"/>
        <v>6533809.8243749999</v>
      </c>
      <c r="AO93" s="221"/>
    </row>
    <row r="94" spans="1:41" s="2" customFormat="1" ht="20.25" customHeight="1">
      <c r="A94" s="381">
        <v>72</v>
      </c>
      <c r="B94" s="378" t="s">
        <v>566</v>
      </c>
      <c r="C94" s="378" t="s">
        <v>487</v>
      </c>
      <c r="D94" s="382" t="s">
        <v>37</v>
      </c>
      <c r="E94" s="383" t="s">
        <v>175</v>
      </c>
      <c r="F94" s="383">
        <v>2</v>
      </c>
      <c r="G94" s="384">
        <v>4.1900000000000004</v>
      </c>
      <c r="H94" s="334">
        <f t="shared" si="37"/>
        <v>148300.86000000002</v>
      </c>
      <c r="I94" s="319">
        <v>2</v>
      </c>
      <c r="J94" s="381">
        <v>17697</v>
      </c>
      <c r="K94" s="385">
        <f t="shared" si="38"/>
        <v>1.125</v>
      </c>
      <c r="L94" s="339">
        <v>0</v>
      </c>
      <c r="M94" s="339">
        <f t="shared" si="39"/>
        <v>0</v>
      </c>
      <c r="N94" s="339">
        <v>18</v>
      </c>
      <c r="O94" s="339">
        <f t="shared" si="40"/>
        <v>166838.46750000003</v>
      </c>
      <c r="P94" s="339">
        <v>0</v>
      </c>
      <c r="Q94" s="334">
        <f t="shared" si="41"/>
        <v>0</v>
      </c>
      <c r="R94" s="334">
        <f t="shared" si="44"/>
        <v>41709.616875000007</v>
      </c>
      <c r="S94" s="334">
        <f t="shared" si="45"/>
        <v>208548.08437500003</v>
      </c>
      <c r="T94" s="334">
        <f t="shared" si="46"/>
        <v>20854.808437500003</v>
      </c>
      <c r="U94" s="319"/>
      <c r="V94" s="386">
        <f t="shared" si="47"/>
        <v>0</v>
      </c>
      <c r="W94" s="319">
        <v>1</v>
      </c>
      <c r="X94" s="335">
        <f t="shared" si="48"/>
        <v>10618.199999999999</v>
      </c>
      <c r="Y94" s="381">
        <v>15</v>
      </c>
      <c r="Z94" s="334">
        <f t="shared" si="49"/>
        <v>6636.375</v>
      </c>
      <c r="AA94" s="319"/>
      <c r="AB94" s="334">
        <f t="shared" si="50"/>
        <v>0</v>
      </c>
      <c r="AC94" s="322"/>
      <c r="AD94" s="319"/>
      <c r="AE94" s="334">
        <f t="shared" si="51"/>
        <v>62564.42531250001</v>
      </c>
      <c r="AF94" s="319"/>
      <c r="AG94" s="335">
        <f t="shared" si="52"/>
        <v>0</v>
      </c>
      <c r="AH94" s="381"/>
      <c r="AI94" s="334"/>
      <c r="AJ94" s="334"/>
      <c r="AK94" s="334"/>
      <c r="AL94" s="319"/>
      <c r="AM94" s="334">
        <f t="shared" si="54"/>
        <v>309221.89312500006</v>
      </c>
      <c r="AN94" s="334">
        <f t="shared" si="43"/>
        <v>3710662.7175000007</v>
      </c>
      <c r="AO94" s="221"/>
    </row>
    <row r="95" spans="1:41" s="143" customFormat="1" ht="19.5" customHeight="1">
      <c r="A95" s="381">
        <v>73</v>
      </c>
      <c r="B95" s="395" t="s">
        <v>569</v>
      </c>
      <c r="C95" s="395" t="s">
        <v>482</v>
      </c>
      <c r="D95" s="382" t="s">
        <v>37</v>
      </c>
      <c r="E95" s="383" t="s">
        <v>570</v>
      </c>
      <c r="F95" s="396">
        <v>25</v>
      </c>
      <c r="G95" s="396">
        <v>5.41</v>
      </c>
      <c r="H95" s="334">
        <f t="shared" si="37"/>
        <v>191481.54</v>
      </c>
      <c r="I95" s="319">
        <v>2</v>
      </c>
      <c r="J95" s="381">
        <v>17697</v>
      </c>
      <c r="K95" s="385">
        <f t="shared" si="38"/>
        <v>0.625</v>
      </c>
      <c r="L95" s="397">
        <v>0</v>
      </c>
      <c r="M95" s="339">
        <f t="shared" si="39"/>
        <v>0</v>
      </c>
      <c r="N95" s="397">
        <v>2</v>
      </c>
      <c r="O95" s="339">
        <f t="shared" si="40"/>
        <v>23935.192500000001</v>
      </c>
      <c r="P95" s="339">
        <v>8</v>
      </c>
      <c r="Q95" s="334">
        <f t="shared" si="41"/>
        <v>95740.77</v>
      </c>
      <c r="R95" s="334">
        <f t="shared" si="44"/>
        <v>29918.990625000002</v>
      </c>
      <c r="S95" s="334">
        <f t="shared" si="45"/>
        <v>149594.953125</v>
      </c>
      <c r="T95" s="334">
        <f t="shared" si="46"/>
        <v>14959.495312500001</v>
      </c>
      <c r="U95" s="395"/>
      <c r="V95" s="386">
        <f t="shared" si="47"/>
        <v>0</v>
      </c>
      <c r="W95" s="395"/>
      <c r="X95" s="335">
        <f t="shared" si="48"/>
        <v>0</v>
      </c>
      <c r="Y95" s="372">
        <v>9</v>
      </c>
      <c r="Z95" s="334">
        <f t="shared" si="49"/>
        <v>3981.8250000000003</v>
      </c>
      <c r="AA95" s="395"/>
      <c r="AB95" s="334">
        <f t="shared" si="50"/>
        <v>0</v>
      </c>
      <c r="AC95" s="395"/>
      <c r="AD95" s="395"/>
      <c r="AE95" s="334">
        <f t="shared" si="51"/>
        <v>44878.485937500001</v>
      </c>
      <c r="AF95" s="395"/>
      <c r="AG95" s="335">
        <f t="shared" si="52"/>
        <v>0</v>
      </c>
      <c r="AH95" s="395"/>
      <c r="AI95" s="334"/>
      <c r="AJ95" s="334"/>
      <c r="AK95" s="334">
        <f t="shared" si="42"/>
        <v>59837.981250000004</v>
      </c>
      <c r="AL95" s="395"/>
      <c r="AM95" s="334">
        <f t="shared" si="54"/>
        <v>273252.74062499998</v>
      </c>
      <c r="AN95" s="334">
        <f t="shared" si="43"/>
        <v>3279032.8874999997</v>
      </c>
      <c r="AO95" s="398"/>
    </row>
    <row r="96" spans="1:41" s="143" customFormat="1" ht="19.5" customHeight="1">
      <c r="A96" s="381">
        <v>74</v>
      </c>
      <c r="B96" s="395" t="s">
        <v>569</v>
      </c>
      <c r="C96" s="379" t="s">
        <v>487</v>
      </c>
      <c r="D96" s="382" t="s">
        <v>37</v>
      </c>
      <c r="E96" s="383" t="s">
        <v>570</v>
      </c>
      <c r="F96" s="391">
        <v>25</v>
      </c>
      <c r="G96" s="393">
        <v>5.41</v>
      </c>
      <c r="H96" s="334">
        <f t="shared" si="37"/>
        <v>191481.54</v>
      </c>
      <c r="I96" s="319">
        <v>2</v>
      </c>
      <c r="J96" s="381">
        <v>17697</v>
      </c>
      <c r="K96" s="385">
        <f t="shared" si="38"/>
        <v>0.625</v>
      </c>
      <c r="L96" s="339">
        <v>0</v>
      </c>
      <c r="M96" s="339">
        <f t="shared" si="39"/>
        <v>0</v>
      </c>
      <c r="N96" s="339">
        <v>4</v>
      </c>
      <c r="O96" s="339">
        <f t="shared" si="40"/>
        <v>47870.385000000002</v>
      </c>
      <c r="P96" s="339">
        <v>6</v>
      </c>
      <c r="Q96" s="334">
        <f t="shared" si="41"/>
        <v>71805.577499999999</v>
      </c>
      <c r="R96" s="334">
        <f t="shared" si="44"/>
        <v>29918.990624999999</v>
      </c>
      <c r="S96" s="334">
        <f t="shared" si="45"/>
        <v>149594.953125</v>
      </c>
      <c r="T96" s="334">
        <f t="shared" si="46"/>
        <v>14959.495312500001</v>
      </c>
      <c r="U96" s="319"/>
      <c r="V96" s="386">
        <f t="shared" si="47"/>
        <v>0</v>
      </c>
      <c r="W96" s="319"/>
      <c r="X96" s="335">
        <f t="shared" si="48"/>
        <v>0</v>
      </c>
      <c r="Y96" s="381">
        <v>6</v>
      </c>
      <c r="Z96" s="334">
        <f t="shared" si="49"/>
        <v>2654.55</v>
      </c>
      <c r="AA96" s="319">
        <v>0</v>
      </c>
      <c r="AB96" s="334">
        <f t="shared" si="50"/>
        <v>0</v>
      </c>
      <c r="AC96" s="322"/>
      <c r="AD96" s="319"/>
      <c r="AE96" s="334">
        <f t="shared" si="51"/>
        <v>44878.485937500001</v>
      </c>
      <c r="AF96" s="319"/>
      <c r="AG96" s="335">
        <f t="shared" si="52"/>
        <v>0</v>
      </c>
      <c r="AH96" s="381"/>
      <c r="AI96" s="334"/>
      <c r="AJ96" s="334"/>
      <c r="AK96" s="334">
        <f t="shared" si="42"/>
        <v>59837.981250000004</v>
      </c>
      <c r="AL96" s="319"/>
      <c r="AM96" s="334">
        <f t="shared" si="54"/>
        <v>271925.46562499995</v>
      </c>
      <c r="AN96" s="334">
        <f>AM96*12</f>
        <v>3263105.5874999994</v>
      </c>
      <c r="AO96" s="398"/>
    </row>
    <row r="97" spans="1:41" s="143" customFormat="1" ht="19.5" customHeight="1">
      <c r="A97" s="381">
        <v>75</v>
      </c>
      <c r="B97" s="395" t="s">
        <v>569</v>
      </c>
      <c r="C97" s="379" t="s">
        <v>530</v>
      </c>
      <c r="D97" s="382" t="s">
        <v>37</v>
      </c>
      <c r="E97" s="383" t="s">
        <v>570</v>
      </c>
      <c r="F97" s="391">
        <v>25</v>
      </c>
      <c r="G97" s="393">
        <v>5.41</v>
      </c>
      <c r="H97" s="334">
        <f t="shared" si="37"/>
        <v>191481.54</v>
      </c>
      <c r="I97" s="319">
        <v>2</v>
      </c>
      <c r="J97" s="381">
        <v>17697</v>
      </c>
      <c r="K97" s="385">
        <f t="shared" si="38"/>
        <v>0.5625</v>
      </c>
      <c r="L97" s="339">
        <v>5</v>
      </c>
      <c r="M97" s="339">
        <f t="shared" si="39"/>
        <v>59837.981250000004</v>
      </c>
      <c r="N97" s="339">
        <v>4</v>
      </c>
      <c r="O97" s="339">
        <f t="shared" si="40"/>
        <v>47870.385000000002</v>
      </c>
      <c r="P97" s="339">
        <v>0</v>
      </c>
      <c r="Q97" s="334">
        <f t="shared" si="41"/>
        <v>0</v>
      </c>
      <c r="R97" s="334">
        <f t="shared" si="44"/>
        <v>26927.091562500002</v>
      </c>
      <c r="S97" s="334">
        <f t="shared" si="45"/>
        <v>134635.45781250001</v>
      </c>
      <c r="T97" s="334">
        <f t="shared" si="46"/>
        <v>13463.545781250003</v>
      </c>
      <c r="U97" s="319"/>
      <c r="V97" s="386">
        <f t="shared" si="47"/>
        <v>0</v>
      </c>
      <c r="W97" s="319"/>
      <c r="X97" s="335">
        <f t="shared" si="48"/>
        <v>0</v>
      </c>
      <c r="Y97" s="381"/>
      <c r="Z97" s="334">
        <f t="shared" si="49"/>
        <v>0</v>
      </c>
      <c r="AA97" s="319">
        <v>0</v>
      </c>
      <c r="AB97" s="334">
        <f t="shared" si="50"/>
        <v>0</v>
      </c>
      <c r="AC97" s="322"/>
      <c r="AD97" s="319"/>
      <c r="AE97" s="334">
        <f t="shared" si="51"/>
        <v>40390.637343750001</v>
      </c>
      <c r="AF97" s="319"/>
      <c r="AG97" s="335">
        <f t="shared" si="52"/>
        <v>0</v>
      </c>
      <c r="AH97" s="381"/>
      <c r="AI97" s="334"/>
      <c r="AJ97" s="334"/>
      <c r="AK97" s="334">
        <f t="shared" si="42"/>
        <v>53854.18312500001</v>
      </c>
      <c r="AL97" s="319"/>
      <c r="AM97" s="334">
        <f t="shared" si="54"/>
        <v>242343.8240625</v>
      </c>
      <c r="AN97" s="334">
        <f>AM97*12</f>
        <v>2908125.8887499999</v>
      </c>
      <c r="AO97" s="398"/>
    </row>
    <row r="98" spans="1:41" s="274" customFormat="1" ht="15" customHeight="1">
      <c r="G98" s="309"/>
      <c r="H98" s="307"/>
      <c r="I98" s="306"/>
      <c r="J98" s="310"/>
      <c r="K98" s="276"/>
      <c r="M98" s="275"/>
      <c r="N98" s="277"/>
      <c r="O98" s="275"/>
      <c r="P98" s="277"/>
      <c r="Q98" s="275"/>
      <c r="S98" s="275"/>
      <c r="AM98" s="275"/>
      <c r="AN98" s="275"/>
    </row>
    <row r="99" spans="1:41" s="274" customFormat="1" ht="18" customHeight="1">
      <c r="G99" s="303"/>
      <c r="H99" s="307"/>
      <c r="I99" s="306"/>
      <c r="J99" s="310"/>
      <c r="K99" s="276"/>
      <c r="M99" s="275"/>
      <c r="N99" s="277"/>
      <c r="O99" s="275"/>
      <c r="P99" s="277"/>
      <c r="Q99" s="275"/>
      <c r="S99" s="275"/>
      <c r="X99" s="352" t="s">
        <v>622</v>
      </c>
      <c r="Y99" s="353"/>
      <c r="Z99" s="354"/>
      <c r="AA99" s="243"/>
      <c r="AB99" s="243"/>
      <c r="AC99" s="182"/>
      <c r="AD99" s="190"/>
      <c r="AE99" s="275"/>
      <c r="AF99" s="275"/>
      <c r="AM99" s="275"/>
      <c r="AN99" s="275"/>
    </row>
    <row r="100" spans="1:41" s="245" customFormat="1" ht="9" customHeight="1">
      <c r="A100" s="278"/>
      <c r="G100" s="303"/>
      <c r="H100" s="307"/>
      <c r="I100" s="306"/>
      <c r="J100" s="311"/>
      <c r="K100" s="237"/>
      <c r="L100" s="237"/>
      <c r="M100" s="254"/>
      <c r="N100" s="237"/>
      <c r="O100" s="254"/>
      <c r="P100" s="237"/>
      <c r="Q100" s="254"/>
      <c r="R100" s="237"/>
      <c r="S100" s="254"/>
      <c r="T100" s="237"/>
      <c r="X100" s="274"/>
      <c r="Y100" s="353"/>
      <c r="Z100" s="354"/>
      <c r="AA100" s="243"/>
      <c r="AB100" s="355"/>
      <c r="AC100" s="182"/>
      <c r="AD100" s="190"/>
      <c r="AE100" s="275"/>
      <c r="AF100" s="275"/>
      <c r="AG100" s="278"/>
      <c r="AH100" s="278"/>
      <c r="AI100" s="278"/>
      <c r="AJ100" s="278"/>
      <c r="AK100" s="278"/>
      <c r="AL100" s="278"/>
      <c r="AM100" s="246"/>
      <c r="AN100" s="244"/>
    </row>
    <row r="101" spans="1:41" s="245" customFormat="1" ht="20.25">
      <c r="A101" s="278"/>
      <c r="G101" s="303"/>
      <c r="H101" s="307"/>
      <c r="I101" s="306"/>
      <c r="J101" s="311"/>
      <c r="K101" s="237"/>
      <c r="L101" s="237"/>
      <c r="M101" s="254"/>
      <c r="N101" s="282"/>
      <c r="O101" s="254"/>
      <c r="P101" s="282"/>
      <c r="Q101" s="254"/>
      <c r="R101" s="237"/>
      <c r="S101" s="254"/>
      <c r="T101" s="237"/>
      <c r="X101" s="352" t="s">
        <v>641</v>
      </c>
      <c r="Y101" s="353"/>
      <c r="Z101" s="354"/>
      <c r="AA101" s="243"/>
      <c r="AB101" s="243"/>
      <c r="AC101" s="182"/>
      <c r="AD101" s="190"/>
      <c r="AE101" s="275"/>
      <c r="AF101" s="275"/>
      <c r="AG101" s="278"/>
      <c r="AH101" s="278"/>
      <c r="AI101" s="278"/>
      <c r="AJ101" s="278"/>
      <c r="AK101" s="278"/>
      <c r="AL101" s="278"/>
      <c r="AM101" s="246"/>
      <c r="AN101" s="244"/>
    </row>
    <row r="102" spans="1:41" s="245" customFormat="1" ht="9" customHeight="1">
      <c r="A102" s="278"/>
      <c r="G102" s="303"/>
      <c r="H102" s="307"/>
      <c r="I102" s="306"/>
      <c r="J102" s="254"/>
      <c r="K102" s="283"/>
      <c r="L102" s="237"/>
      <c r="M102" s="254"/>
      <c r="N102" s="282"/>
      <c r="O102" s="254"/>
      <c r="P102" s="282"/>
      <c r="Q102" s="254"/>
      <c r="R102" s="237"/>
      <c r="S102" s="254"/>
      <c r="T102" s="237"/>
      <c r="X102" s="273"/>
      <c r="Y102" s="353"/>
      <c r="Z102" s="354"/>
      <c r="AA102" s="243"/>
      <c r="AB102" s="243"/>
      <c r="AC102" s="20"/>
      <c r="AD102" s="42"/>
      <c r="AE102" s="246"/>
      <c r="AF102" s="246"/>
      <c r="AG102" s="278"/>
      <c r="AH102" s="278"/>
      <c r="AI102" s="278"/>
      <c r="AJ102" s="278"/>
      <c r="AK102" s="278"/>
      <c r="AL102" s="278"/>
      <c r="AM102" s="246"/>
      <c r="AN102" s="244"/>
    </row>
    <row r="103" spans="1:41" s="245" customFormat="1" ht="20.25">
      <c r="A103" s="284"/>
      <c r="B103" s="279"/>
      <c r="C103" s="279"/>
      <c r="D103" s="237"/>
      <c r="E103" s="237"/>
      <c r="F103" s="280"/>
      <c r="G103" s="281"/>
      <c r="H103" s="254"/>
      <c r="I103" s="265"/>
      <c r="J103" s="254"/>
      <c r="K103" s="285"/>
      <c r="L103" s="237"/>
      <c r="M103" s="254"/>
      <c r="N103" s="282"/>
      <c r="O103" s="254"/>
      <c r="P103" s="282"/>
      <c r="Q103" s="254"/>
      <c r="R103" s="237"/>
      <c r="S103" s="254"/>
      <c r="T103" s="237"/>
      <c r="X103" s="352" t="s">
        <v>639</v>
      </c>
      <c r="Y103" s="353"/>
      <c r="Z103" s="354"/>
      <c r="AA103" s="243"/>
      <c r="AB103" s="243"/>
      <c r="AC103" s="20"/>
      <c r="AD103" s="42"/>
      <c r="AE103" s="246"/>
      <c r="AF103" s="246"/>
      <c r="AG103" s="278"/>
      <c r="AH103" s="278"/>
      <c r="AI103" s="278"/>
      <c r="AJ103" s="278"/>
      <c r="AK103" s="278"/>
      <c r="AL103" s="278"/>
      <c r="AM103" s="246"/>
      <c r="AN103" s="244"/>
    </row>
    <row r="104" spans="1:41" s="245" customFormat="1" ht="9.75" customHeight="1">
      <c r="A104" s="286"/>
      <c r="B104" s="279"/>
      <c r="C104" s="279"/>
      <c r="D104" s="237"/>
      <c r="E104" s="237"/>
      <c r="F104" s="287"/>
      <c r="G104" s="281"/>
      <c r="H104" s="254"/>
      <c r="I104" s="265"/>
      <c r="J104" s="254"/>
      <c r="K104" s="285"/>
      <c r="L104" s="237"/>
      <c r="M104" s="254"/>
      <c r="N104" s="237"/>
      <c r="O104" s="254"/>
      <c r="P104" s="237"/>
      <c r="Q104" s="254"/>
      <c r="R104" s="237"/>
      <c r="S104" s="254"/>
      <c r="T104" s="237"/>
      <c r="Y104" s="353"/>
      <c r="Z104" s="354"/>
      <c r="AA104" s="243"/>
      <c r="AB104" s="243"/>
      <c r="AC104" s="20"/>
      <c r="AD104" s="42"/>
      <c r="AE104" s="246"/>
      <c r="AF104" s="246"/>
      <c r="AM104" s="244"/>
      <c r="AN104" s="244"/>
    </row>
    <row r="105" spans="1:41" s="245" customFormat="1" ht="20.25">
      <c r="A105" s="286"/>
      <c r="B105" s="289"/>
      <c r="C105" s="289"/>
      <c r="E105" s="237"/>
      <c r="F105" s="287"/>
      <c r="G105" s="290"/>
      <c r="H105" s="244"/>
      <c r="I105" s="291"/>
      <c r="J105" s="244"/>
      <c r="K105" s="292"/>
      <c r="M105" s="244"/>
      <c r="O105" s="244"/>
      <c r="Q105" s="244"/>
      <c r="S105" s="244"/>
      <c r="X105" s="352" t="s">
        <v>640</v>
      </c>
      <c r="Y105" s="244"/>
      <c r="Z105" s="288"/>
      <c r="AA105" s="244"/>
      <c r="AB105" s="2"/>
      <c r="AC105" s="48"/>
      <c r="AD105" s="41"/>
      <c r="AE105" s="244"/>
      <c r="AF105" s="244"/>
      <c r="AM105" s="244"/>
      <c r="AN105" s="244"/>
    </row>
    <row r="106" spans="1:41" s="245" customFormat="1" ht="15.75">
      <c r="A106" s="286"/>
      <c r="B106" s="289"/>
      <c r="C106" s="289"/>
      <c r="E106" s="237"/>
      <c r="F106" s="287"/>
      <c r="G106" s="290"/>
      <c r="H106" s="244"/>
      <c r="I106" s="291"/>
      <c r="J106" s="244"/>
      <c r="K106" s="293"/>
      <c r="M106" s="244"/>
      <c r="O106" s="244"/>
      <c r="Q106" s="244"/>
      <c r="S106" s="244"/>
      <c r="V106" s="244"/>
      <c r="W106" s="288"/>
      <c r="X106" s="244"/>
      <c r="Y106" s="2"/>
      <c r="Z106" s="48"/>
      <c r="AA106" s="41"/>
      <c r="AB106" s="244"/>
      <c r="AC106" s="244"/>
      <c r="AD106" s="244"/>
      <c r="AM106" s="244"/>
      <c r="AN106" s="244"/>
    </row>
    <row r="107" spans="1:41" s="245" customFormat="1" ht="15.75">
      <c r="B107" s="289"/>
      <c r="C107" s="289"/>
      <c r="E107" s="237"/>
      <c r="F107" s="280"/>
      <c r="G107" s="290"/>
      <c r="H107" s="244"/>
      <c r="I107" s="291"/>
      <c r="J107" s="244"/>
      <c r="M107" s="244"/>
      <c r="O107" s="244"/>
      <c r="Q107" s="244"/>
      <c r="S107" s="244"/>
      <c r="V107" s="244"/>
      <c r="W107" s="288"/>
      <c r="X107" s="244"/>
      <c r="Y107" s="2"/>
      <c r="Z107" s="48"/>
      <c r="AA107" s="41"/>
      <c r="AB107" s="244"/>
      <c r="AC107" s="244"/>
      <c r="AD107" s="244"/>
      <c r="AM107" s="244"/>
      <c r="AN107" s="244"/>
    </row>
  </sheetData>
  <mergeCells count="35">
    <mergeCell ref="L18:Q19"/>
    <mergeCell ref="A11:C11"/>
    <mergeCell ref="A14:C14"/>
    <mergeCell ref="A16:S16"/>
    <mergeCell ref="AF17:AM17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R18:R20"/>
    <mergeCell ref="S18:S20"/>
    <mergeCell ref="T18:T20"/>
    <mergeCell ref="U18:X18"/>
    <mergeCell ref="Y18:AB19"/>
    <mergeCell ref="AN18:AN20"/>
    <mergeCell ref="U19:V19"/>
    <mergeCell ref="W19:X19"/>
    <mergeCell ref="AI19:AI20"/>
    <mergeCell ref="AJ19:AJ20"/>
    <mergeCell ref="AK19:AK20"/>
    <mergeCell ref="AL19:AL20"/>
    <mergeCell ref="AD18:AD20"/>
    <mergeCell ref="AE18:AE20"/>
    <mergeCell ref="AF18:AG19"/>
    <mergeCell ref="AH18:AH20"/>
    <mergeCell ref="AI18:AL18"/>
    <mergeCell ref="AM18:AM20"/>
    <mergeCell ref="AC18:AC20"/>
  </mergeCells>
  <pageMargins left="0.31496062992125984" right="0.23622047244094491" top="0.39" bottom="0.15748031496062992" header="0" footer="0"/>
  <pageSetup paperSize="9" scale="50" fitToWidth="4" orientation="landscape" r:id="rId1"/>
  <rowBreaks count="1" manualBreakCount="1">
    <brk id="53" max="39" man="1"/>
  </rowBreaks>
  <colBreaks count="1" manualBreakCount="1">
    <brk id="20" max="103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4:AM65"/>
  <sheetViews>
    <sheetView view="pageBreakPreview" topLeftCell="A12" zoomScale="55" zoomScaleNormal="55" zoomScaleSheetLayoutView="55" workbookViewId="0">
      <pane ySplit="5" topLeftCell="A50" activePane="bottomLeft" state="frozen"/>
      <selection activeCell="A12" sqref="A12"/>
      <selection pane="bottomLeft" activeCell="A12" sqref="A12:Z12"/>
    </sheetView>
  </sheetViews>
  <sheetFormatPr defaultColWidth="6.140625" defaultRowHeight="12.75"/>
  <cols>
    <col min="1" max="1" width="6.140625" style="303" customWidth="1"/>
    <col min="2" max="2" width="20.85546875" style="304" customWidth="1"/>
    <col min="3" max="3" width="18.28515625" style="308" customWidth="1"/>
    <col min="4" max="4" width="12.5703125" style="305" customWidth="1"/>
    <col min="5" max="5" width="9.28515625" style="303" customWidth="1"/>
    <col min="6" max="6" width="9.5703125" style="303" customWidth="1"/>
    <col min="7" max="7" width="8.85546875" style="303" customWidth="1"/>
    <col min="8" max="8" width="7" style="307" customWidth="1"/>
    <col min="9" max="9" width="10.7109375" style="306" customWidth="1"/>
    <col min="10" max="10" width="8.42578125" style="303" customWidth="1"/>
    <col min="11" max="11" width="11.42578125" style="306" customWidth="1"/>
    <col min="12" max="12" width="8.85546875" style="306" hidden="1" customWidth="1"/>
    <col min="13" max="13" width="10.5703125" style="306" customWidth="1"/>
    <col min="14" max="14" width="10.28515625" style="306" customWidth="1"/>
    <col min="15" max="15" width="6.140625" style="306" hidden="1" customWidth="1"/>
    <col min="16" max="16" width="10.5703125" style="306" customWidth="1"/>
    <col min="17" max="17" width="9.5703125" style="306" customWidth="1"/>
    <col min="18" max="18" width="9.7109375" style="306" customWidth="1"/>
    <col min="19" max="19" width="10.28515625" style="306" customWidth="1"/>
    <col min="20" max="20" width="9.140625" style="306" customWidth="1"/>
    <col min="21" max="21" width="11.28515625" style="306" customWidth="1"/>
    <col min="22" max="22" width="10.140625" style="306" customWidth="1"/>
    <col min="23" max="23" width="11.7109375" style="306" customWidth="1"/>
    <col min="24" max="24" width="12.42578125" style="306" customWidth="1"/>
    <col min="25" max="25" width="12.140625" style="306" customWidth="1"/>
    <col min="26" max="26" width="13" style="306" customWidth="1"/>
    <col min="27" max="27" width="6.140625" style="303" customWidth="1"/>
    <col min="28" max="28" width="7.28515625" style="303" bestFit="1" customWidth="1"/>
    <col min="29" max="16384" width="6.140625" style="303"/>
  </cols>
  <sheetData>
    <row r="4" spans="1:39" ht="14.25" customHeight="1">
      <c r="A4" s="241" t="s">
        <v>617</v>
      </c>
      <c r="B4" s="245"/>
      <c r="C4" s="240"/>
      <c r="D4" s="240"/>
      <c r="E4" s="254"/>
      <c r="F4" s="254"/>
      <c r="G4" s="237"/>
      <c r="H4" s="281"/>
      <c r="I4" s="237"/>
      <c r="J4" s="237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41" t="s">
        <v>571</v>
      </c>
      <c r="V4" s="237"/>
      <c r="W4" s="237"/>
      <c r="X4" s="240"/>
      <c r="Y4" s="254"/>
      <c r="Z4" s="254"/>
    </row>
    <row r="5" spans="1:39" ht="21" customHeight="1">
      <c r="A5" s="236" t="s">
        <v>572</v>
      </c>
      <c r="B5" s="245"/>
      <c r="C5" s="240"/>
      <c r="D5" s="240"/>
      <c r="E5" s="254"/>
      <c r="F5" s="254"/>
      <c r="G5" s="237"/>
      <c r="H5" s="281"/>
      <c r="I5" s="237"/>
      <c r="J5" s="237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36" t="s">
        <v>572</v>
      </c>
      <c r="V5" s="237"/>
      <c r="W5" s="237"/>
      <c r="X5" s="240"/>
      <c r="Y5" s="254"/>
      <c r="Z5" s="254"/>
    </row>
    <row r="6" spans="1:39" ht="18" customHeight="1">
      <c r="A6" s="241" t="s">
        <v>634</v>
      </c>
      <c r="B6" s="245"/>
      <c r="C6" s="237"/>
      <c r="D6" s="237"/>
      <c r="E6" s="254"/>
      <c r="F6" s="254"/>
      <c r="G6" s="237"/>
      <c r="H6" s="281"/>
      <c r="I6" s="237"/>
      <c r="J6" s="237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41" t="s">
        <v>632</v>
      </c>
      <c r="V6" s="237"/>
      <c r="W6" s="237"/>
      <c r="X6" s="237"/>
      <c r="Y6" s="254"/>
      <c r="Z6" s="254"/>
    </row>
    <row r="7" spans="1:39" ht="18" customHeight="1">
      <c r="A7" s="241" t="s">
        <v>633</v>
      </c>
      <c r="B7" s="245"/>
      <c r="C7" s="237"/>
      <c r="D7" s="237"/>
      <c r="E7" s="254"/>
      <c r="F7" s="254"/>
      <c r="G7" s="237"/>
      <c r="H7" s="281"/>
      <c r="I7" s="237"/>
      <c r="J7" s="237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41" t="s">
        <v>635</v>
      </c>
      <c r="V7" s="237"/>
      <c r="W7" s="237"/>
      <c r="X7" s="237"/>
      <c r="Y7" s="254"/>
      <c r="Z7" s="254"/>
    </row>
    <row r="8" spans="1:39" ht="35.25" customHeight="1">
      <c r="A8" s="241"/>
      <c r="B8" s="237"/>
      <c r="C8" s="237"/>
      <c r="D8" s="237"/>
      <c r="E8" s="254"/>
      <c r="F8" s="254"/>
      <c r="G8" s="237"/>
      <c r="H8" s="281"/>
      <c r="I8" s="237"/>
      <c r="J8" s="237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41" t="s">
        <v>623</v>
      </c>
      <c r="V8" s="237"/>
      <c r="W8" s="237"/>
      <c r="X8" s="237"/>
      <c r="Y8" s="254"/>
      <c r="Z8" s="254"/>
    </row>
    <row r="9" spans="1:39" ht="5.25" customHeight="1">
      <c r="A9" s="237"/>
      <c r="B9" s="156"/>
      <c r="C9" s="279"/>
      <c r="D9" s="320"/>
      <c r="E9" s="321"/>
      <c r="F9" s="254"/>
      <c r="G9" s="237"/>
      <c r="H9" s="281"/>
      <c r="I9" s="237"/>
      <c r="J9" s="237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41"/>
      <c r="V9" s="237"/>
      <c r="W9" s="237"/>
      <c r="X9" s="237"/>
      <c r="Y9" s="254"/>
      <c r="Z9" s="254"/>
    </row>
    <row r="10" spans="1:39" ht="14.25" hidden="1" customHeight="1">
      <c r="A10" s="237"/>
      <c r="B10" s="156"/>
      <c r="C10" s="279"/>
      <c r="D10" s="320"/>
      <c r="E10" s="321"/>
      <c r="F10" s="254"/>
      <c r="G10" s="237"/>
      <c r="H10" s="281"/>
      <c r="I10" s="237"/>
      <c r="J10" s="237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88"/>
      <c r="V10" s="254"/>
      <c r="W10" s="254"/>
      <c r="X10" s="254"/>
      <c r="Y10" s="254"/>
      <c r="Z10" s="254"/>
    </row>
    <row r="11" spans="1:39" ht="13.5" hidden="1" customHeight="1">
      <c r="A11" s="237"/>
      <c r="B11" s="156"/>
      <c r="C11" s="279"/>
      <c r="D11" s="320"/>
      <c r="E11" s="321"/>
      <c r="F11" s="254"/>
      <c r="G11" s="237"/>
      <c r="H11" s="281"/>
      <c r="I11" s="237"/>
      <c r="J11" s="237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88"/>
      <c r="V11" s="254"/>
      <c r="W11" s="254"/>
      <c r="X11" s="254"/>
      <c r="Y11" s="254"/>
      <c r="Z11" s="254"/>
    </row>
    <row r="12" spans="1:39" ht="39.6" customHeight="1">
      <c r="A12" s="550" t="s">
        <v>655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</row>
    <row r="13" spans="1:39" ht="12" customHeight="1">
      <c r="A13" s="237"/>
      <c r="B13" s="279"/>
      <c r="C13" s="156"/>
      <c r="D13" s="320"/>
      <c r="E13" s="237"/>
      <c r="F13" s="237"/>
      <c r="G13" s="237"/>
      <c r="H13" s="281"/>
      <c r="I13" s="254"/>
      <c r="J13" s="237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</row>
    <row r="14" spans="1:39" s="161" customFormat="1" ht="28.5" customHeight="1">
      <c r="A14" s="551" t="s">
        <v>22</v>
      </c>
      <c r="B14" s="551" t="s">
        <v>0</v>
      </c>
      <c r="C14" s="551" t="s">
        <v>1</v>
      </c>
      <c r="D14" s="551" t="s">
        <v>59</v>
      </c>
      <c r="E14" s="551" t="s">
        <v>2</v>
      </c>
      <c r="F14" s="551" t="s">
        <v>35</v>
      </c>
      <c r="G14" s="551" t="s">
        <v>36</v>
      </c>
      <c r="H14" s="553" t="s">
        <v>3</v>
      </c>
      <c r="I14" s="544" t="s">
        <v>53</v>
      </c>
      <c r="J14" s="551" t="s">
        <v>51</v>
      </c>
      <c r="K14" s="544" t="s">
        <v>4</v>
      </c>
      <c r="L14" s="544" t="s">
        <v>52</v>
      </c>
      <c r="M14" s="544" t="s">
        <v>42</v>
      </c>
      <c r="N14" s="546" t="s">
        <v>44</v>
      </c>
      <c r="O14" s="547"/>
      <c r="P14" s="547"/>
      <c r="Q14" s="547"/>
      <c r="R14" s="547"/>
      <c r="S14" s="547"/>
      <c r="T14" s="555" t="s">
        <v>44</v>
      </c>
      <c r="U14" s="555"/>
      <c r="V14" s="555"/>
      <c r="W14" s="555"/>
      <c r="X14" s="555"/>
      <c r="Y14" s="544" t="s">
        <v>66</v>
      </c>
      <c r="Z14" s="544" t="s">
        <v>67</v>
      </c>
    </row>
    <row r="15" spans="1:39" s="161" customFormat="1" ht="156" customHeight="1">
      <c r="A15" s="552"/>
      <c r="B15" s="552"/>
      <c r="C15" s="552"/>
      <c r="D15" s="552"/>
      <c r="E15" s="552"/>
      <c r="F15" s="552"/>
      <c r="G15" s="552"/>
      <c r="H15" s="554"/>
      <c r="I15" s="545"/>
      <c r="J15" s="552"/>
      <c r="K15" s="545"/>
      <c r="L15" s="545"/>
      <c r="M15" s="545"/>
      <c r="N15" s="404">
        <v>0.1</v>
      </c>
      <c r="O15" s="404" t="s">
        <v>73</v>
      </c>
      <c r="P15" s="400" t="s">
        <v>48</v>
      </c>
      <c r="Q15" s="400" t="s">
        <v>581</v>
      </c>
      <c r="R15" s="400" t="s">
        <v>55</v>
      </c>
      <c r="S15" s="400" t="s">
        <v>54</v>
      </c>
      <c r="T15" s="401" t="s">
        <v>45</v>
      </c>
      <c r="U15" s="401" t="s">
        <v>46</v>
      </c>
      <c r="V15" s="401" t="s">
        <v>49</v>
      </c>
      <c r="W15" s="401" t="s">
        <v>47</v>
      </c>
      <c r="X15" s="401" t="s">
        <v>614</v>
      </c>
      <c r="Y15" s="545"/>
      <c r="Z15" s="545"/>
    </row>
    <row r="16" spans="1:39" s="155" customFormat="1" ht="25.5" customHeight="1">
      <c r="A16" s="322">
        <v>1</v>
      </c>
      <c r="B16" s="322">
        <v>2</v>
      </c>
      <c r="C16" s="322">
        <v>3</v>
      </c>
      <c r="D16" s="322">
        <v>4</v>
      </c>
      <c r="E16" s="322">
        <v>5</v>
      </c>
      <c r="F16" s="322">
        <v>6</v>
      </c>
      <c r="G16" s="322">
        <v>7</v>
      </c>
      <c r="H16" s="322">
        <v>8</v>
      </c>
      <c r="I16" s="322">
        <v>9</v>
      </c>
      <c r="J16" s="322">
        <v>10</v>
      </c>
      <c r="K16" s="322">
        <v>11</v>
      </c>
      <c r="L16" s="322">
        <v>12</v>
      </c>
      <c r="M16" s="322">
        <v>13</v>
      </c>
      <c r="N16" s="322">
        <v>14</v>
      </c>
      <c r="O16" s="322">
        <v>15</v>
      </c>
      <c r="P16" s="322">
        <v>16</v>
      </c>
      <c r="Q16" s="322">
        <v>17</v>
      </c>
      <c r="R16" s="322">
        <v>18</v>
      </c>
      <c r="S16" s="322">
        <v>19</v>
      </c>
      <c r="T16" s="322">
        <v>21</v>
      </c>
      <c r="U16" s="322">
        <v>22</v>
      </c>
      <c r="V16" s="322">
        <v>23</v>
      </c>
      <c r="W16" s="322">
        <v>24</v>
      </c>
      <c r="X16" s="322">
        <v>25</v>
      </c>
      <c r="Y16" s="322">
        <v>26</v>
      </c>
      <c r="Z16" s="322">
        <v>27</v>
      </c>
    </row>
    <row r="17" spans="1:26" s="160" customFormat="1" ht="29.25" customHeight="1">
      <c r="A17" s="403"/>
      <c r="B17" s="403"/>
      <c r="C17" s="403"/>
      <c r="D17" s="399"/>
      <c r="E17" s="403">
        <f>SUM(E18:E59)</f>
        <v>43</v>
      </c>
      <c r="F17" s="403"/>
      <c r="G17" s="403"/>
      <c r="H17" s="403"/>
      <c r="I17" s="403"/>
      <c r="J17" s="403"/>
      <c r="K17" s="403">
        <f t="shared" ref="K17:Z17" si="0">SUM(K18:K59)</f>
        <v>4878009.9285000004</v>
      </c>
      <c r="L17" s="403">
        <f t="shared" si="0"/>
        <v>0</v>
      </c>
      <c r="M17" s="403">
        <f t="shared" si="0"/>
        <v>738044.53650000005</v>
      </c>
      <c r="N17" s="403">
        <f t="shared" si="0"/>
        <v>561605.44649999973</v>
      </c>
      <c r="O17" s="403">
        <f t="shared" si="0"/>
        <v>0</v>
      </c>
      <c r="P17" s="403">
        <f t="shared" si="0"/>
        <v>21236</v>
      </c>
      <c r="Q17" s="403">
        <f t="shared" si="0"/>
        <v>0</v>
      </c>
      <c r="R17" s="403">
        <f t="shared" si="0"/>
        <v>0</v>
      </c>
      <c r="S17" s="403">
        <f t="shared" si="0"/>
        <v>34754</v>
      </c>
      <c r="T17" s="403">
        <f t="shared" si="0"/>
        <v>56807</v>
      </c>
      <c r="U17" s="403">
        <f t="shared" si="0"/>
        <v>86560.451249999984</v>
      </c>
      <c r="V17" s="403">
        <f t="shared" si="0"/>
        <v>107898.60900000001</v>
      </c>
      <c r="W17" s="403">
        <f t="shared" si="0"/>
        <v>0</v>
      </c>
      <c r="X17" s="403">
        <f t="shared" si="0"/>
        <v>286248.97499999998</v>
      </c>
      <c r="Y17" s="403">
        <f t="shared" si="0"/>
        <v>6771164.9467500001</v>
      </c>
      <c r="Z17" s="403">
        <f t="shared" si="0"/>
        <v>81253979.360999957</v>
      </c>
    </row>
    <row r="18" spans="1:26" s="155" customFormat="1" ht="35.25" customHeight="1">
      <c r="A18" s="322">
        <v>1</v>
      </c>
      <c r="B18" s="331" t="s">
        <v>5</v>
      </c>
      <c r="C18" s="323" t="s">
        <v>499</v>
      </c>
      <c r="D18" s="402" t="s">
        <v>490</v>
      </c>
      <c r="E18" s="322">
        <v>1</v>
      </c>
      <c r="F18" s="319" t="s">
        <v>491</v>
      </c>
      <c r="G18" s="319">
        <v>28</v>
      </c>
      <c r="H18" s="333">
        <v>6.22</v>
      </c>
      <c r="I18" s="334">
        <v>17697</v>
      </c>
      <c r="J18" s="322">
        <v>2</v>
      </c>
      <c r="K18" s="335">
        <f>E18*H18*I18*J18</f>
        <v>220150.68</v>
      </c>
      <c r="L18" s="322"/>
      <c r="M18" s="335">
        <f>K18*25%</f>
        <v>55037.67</v>
      </c>
      <c r="N18" s="335">
        <f>(K18+M18)*10%</f>
        <v>27518.834999999999</v>
      </c>
      <c r="O18" s="322"/>
      <c r="P18" s="322"/>
      <c r="Q18" s="322"/>
      <c r="R18" s="322"/>
      <c r="S18" s="322"/>
      <c r="T18" s="322"/>
      <c r="U18" s="322"/>
      <c r="V18" s="322"/>
      <c r="W18" s="322"/>
      <c r="X18" s="335">
        <f>(K18+M18)*50%</f>
        <v>137594.17499999999</v>
      </c>
      <c r="Y18" s="335">
        <f t="shared" ref="Y18:Y59" si="1">SUM(K18:X18)</f>
        <v>440301.36</v>
      </c>
      <c r="Z18" s="335">
        <f>Y18*12</f>
        <v>5283616.32</v>
      </c>
    </row>
    <row r="19" spans="1:26" s="155" customFormat="1" ht="52.5" customHeight="1">
      <c r="A19" s="322">
        <v>2</v>
      </c>
      <c r="B19" s="331" t="s">
        <v>463</v>
      </c>
      <c r="C19" s="336" t="s">
        <v>578</v>
      </c>
      <c r="D19" s="402" t="s">
        <v>490</v>
      </c>
      <c r="E19" s="322">
        <v>1</v>
      </c>
      <c r="F19" s="319" t="s">
        <v>492</v>
      </c>
      <c r="G19" s="337">
        <v>15</v>
      </c>
      <c r="H19" s="337">
        <v>5.43</v>
      </c>
      <c r="I19" s="334">
        <v>17697</v>
      </c>
      <c r="J19" s="322">
        <v>2</v>
      </c>
      <c r="K19" s="335">
        <f t="shared" ref="K19:K59" si="2">E19*H19*I19*J19</f>
        <v>192189.41999999998</v>
      </c>
      <c r="L19" s="322"/>
      <c r="M19" s="335">
        <f t="shared" ref="M19:M36" si="3">K19*25%</f>
        <v>48047.354999999996</v>
      </c>
      <c r="N19" s="335">
        <f t="shared" ref="N19:N59" si="4">(K19+M19)*10%</f>
        <v>24023.677499999998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35">
        <f t="shared" si="1"/>
        <v>264260.45249999996</v>
      </c>
      <c r="Z19" s="335">
        <f t="shared" ref="Z19:Z59" si="5">Y19*12</f>
        <v>3171125.4299999997</v>
      </c>
    </row>
    <row r="20" spans="1:26" s="155" customFormat="1" ht="54" customHeight="1">
      <c r="A20" s="322">
        <v>3</v>
      </c>
      <c r="B20" s="331" t="s">
        <v>463</v>
      </c>
      <c r="C20" s="336" t="s">
        <v>501</v>
      </c>
      <c r="D20" s="402" t="s">
        <v>490</v>
      </c>
      <c r="E20" s="322">
        <v>1</v>
      </c>
      <c r="F20" s="319" t="s">
        <v>492</v>
      </c>
      <c r="G20" s="348">
        <v>9.5</v>
      </c>
      <c r="H20" s="337">
        <v>5.29</v>
      </c>
      <c r="I20" s="334">
        <v>17697</v>
      </c>
      <c r="J20" s="322">
        <v>2</v>
      </c>
      <c r="K20" s="335">
        <f t="shared" si="2"/>
        <v>187234.26</v>
      </c>
      <c r="L20" s="322"/>
      <c r="M20" s="335">
        <f t="shared" si="3"/>
        <v>46808.565000000002</v>
      </c>
      <c r="N20" s="335">
        <f t="shared" si="4"/>
        <v>23404.282500000001</v>
      </c>
      <c r="O20" s="322"/>
      <c r="P20" s="322"/>
      <c r="Q20" s="322"/>
      <c r="R20" s="322"/>
      <c r="S20" s="322"/>
      <c r="T20" s="322"/>
      <c r="U20" s="322"/>
      <c r="V20" s="322"/>
      <c r="W20" s="322"/>
      <c r="X20" s="335">
        <f>(K20+M20)*30%</f>
        <v>70212.847500000003</v>
      </c>
      <c r="Y20" s="335">
        <f t="shared" si="1"/>
        <v>327659.95500000002</v>
      </c>
      <c r="Z20" s="335">
        <f t="shared" si="5"/>
        <v>3931919.46</v>
      </c>
    </row>
    <row r="21" spans="1:26" s="155" customFormat="1" ht="69.75" customHeight="1">
      <c r="A21" s="322">
        <v>4</v>
      </c>
      <c r="B21" s="331" t="s">
        <v>464</v>
      </c>
      <c r="C21" s="336" t="s">
        <v>580</v>
      </c>
      <c r="D21" s="402" t="s">
        <v>490</v>
      </c>
      <c r="E21" s="322">
        <v>1</v>
      </c>
      <c r="F21" s="319" t="s">
        <v>492</v>
      </c>
      <c r="G21" s="337">
        <v>26</v>
      </c>
      <c r="H21" s="337">
        <v>5.91</v>
      </c>
      <c r="I21" s="334">
        <v>17697</v>
      </c>
      <c r="J21" s="322">
        <v>2</v>
      </c>
      <c r="K21" s="335">
        <f t="shared" si="2"/>
        <v>209178.54</v>
      </c>
      <c r="L21" s="322"/>
      <c r="M21" s="335">
        <f t="shared" si="3"/>
        <v>52294.635000000002</v>
      </c>
      <c r="N21" s="335">
        <f t="shared" si="4"/>
        <v>26147.317500000005</v>
      </c>
      <c r="O21" s="322"/>
      <c r="P21" s="322"/>
      <c r="Q21" s="322"/>
      <c r="R21" s="322"/>
      <c r="S21" s="322"/>
      <c r="T21" s="322"/>
      <c r="U21" s="322"/>
      <c r="V21" s="322"/>
      <c r="W21" s="322"/>
      <c r="X21" s="335">
        <f>(K21+M21)*30%</f>
        <v>78441.952499999999</v>
      </c>
      <c r="Y21" s="335">
        <f t="shared" si="1"/>
        <v>366062.44500000007</v>
      </c>
      <c r="Z21" s="335">
        <f t="shared" si="5"/>
        <v>4392749.3400000008</v>
      </c>
    </row>
    <row r="22" spans="1:26" s="155" customFormat="1" ht="69.75" customHeight="1">
      <c r="A22" s="322">
        <v>5</v>
      </c>
      <c r="B22" s="331" t="s">
        <v>464</v>
      </c>
      <c r="C22" s="323" t="s">
        <v>579</v>
      </c>
      <c r="D22" s="402" t="s">
        <v>490</v>
      </c>
      <c r="E22" s="322">
        <v>1</v>
      </c>
      <c r="F22" s="319" t="s">
        <v>492</v>
      </c>
      <c r="G22" s="319">
        <v>8.11</v>
      </c>
      <c r="H22" s="337">
        <v>5.15</v>
      </c>
      <c r="I22" s="334">
        <v>17697</v>
      </c>
      <c r="J22" s="322">
        <v>2</v>
      </c>
      <c r="K22" s="335">
        <f t="shared" si="2"/>
        <v>182279.1</v>
      </c>
      <c r="L22" s="322"/>
      <c r="M22" s="335">
        <f t="shared" si="3"/>
        <v>45569.775000000001</v>
      </c>
      <c r="N22" s="335">
        <f t="shared" si="4"/>
        <v>22784.887500000001</v>
      </c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35">
        <f t="shared" si="1"/>
        <v>250633.76250000001</v>
      </c>
      <c r="Z22" s="335">
        <f t="shared" si="5"/>
        <v>3007605.1500000004</v>
      </c>
    </row>
    <row r="23" spans="1:26" s="155" customFormat="1" ht="66.75" customHeight="1">
      <c r="A23" s="548">
        <v>6</v>
      </c>
      <c r="B23" s="331" t="s">
        <v>465</v>
      </c>
      <c r="C23" s="548" t="s">
        <v>584</v>
      </c>
      <c r="D23" s="548" t="s">
        <v>490</v>
      </c>
      <c r="E23" s="322">
        <v>1</v>
      </c>
      <c r="F23" s="319" t="s">
        <v>493</v>
      </c>
      <c r="G23" s="319">
        <v>17.11</v>
      </c>
      <c r="H23" s="333">
        <v>5.45</v>
      </c>
      <c r="I23" s="334">
        <v>17697</v>
      </c>
      <c r="J23" s="322">
        <v>1.45</v>
      </c>
      <c r="K23" s="335">
        <f t="shared" si="2"/>
        <v>139850.54250000001</v>
      </c>
      <c r="L23" s="322"/>
      <c r="M23" s="335"/>
      <c r="N23" s="335">
        <f t="shared" si="4"/>
        <v>13985.054250000001</v>
      </c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35">
        <f t="shared" si="1"/>
        <v>153835.59675000003</v>
      </c>
      <c r="Z23" s="335">
        <f t="shared" si="5"/>
        <v>1846027.1610000003</v>
      </c>
    </row>
    <row r="24" spans="1:26" s="155" customFormat="1" ht="27" customHeight="1">
      <c r="A24" s="549"/>
      <c r="B24" s="331" t="s">
        <v>597</v>
      </c>
      <c r="C24" s="549"/>
      <c r="D24" s="549"/>
      <c r="E24" s="322">
        <v>0.5</v>
      </c>
      <c r="F24" s="319">
        <v>3</v>
      </c>
      <c r="G24" s="319">
        <v>17.11</v>
      </c>
      <c r="H24" s="333">
        <v>2.84</v>
      </c>
      <c r="I24" s="334">
        <v>17697</v>
      </c>
      <c r="J24" s="322">
        <v>1.45</v>
      </c>
      <c r="K24" s="335">
        <f t="shared" si="2"/>
        <v>36438.122999999992</v>
      </c>
      <c r="L24" s="322"/>
      <c r="M24" s="335"/>
      <c r="N24" s="335">
        <f t="shared" si="4"/>
        <v>3643.8122999999996</v>
      </c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35">
        <f t="shared" si="1"/>
        <v>40081.93529999999</v>
      </c>
      <c r="Z24" s="335">
        <f t="shared" si="5"/>
        <v>480983.22359999991</v>
      </c>
    </row>
    <row r="25" spans="1:26" s="358" customFormat="1" ht="54.75" customHeight="1">
      <c r="A25" s="322">
        <v>7</v>
      </c>
      <c r="B25" s="323" t="s">
        <v>583</v>
      </c>
      <c r="C25" s="378" t="s">
        <v>628</v>
      </c>
      <c r="D25" s="402" t="s">
        <v>490</v>
      </c>
      <c r="E25" s="339">
        <v>1</v>
      </c>
      <c r="F25" s="322" t="s">
        <v>494</v>
      </c>
      <c r="G25" s="322">
        <v>13.11</v>
      </c>
      <c r="H25" s="340">
        <v>4.49</v>
      </c>
      <c r="I25" s="334">
        <v>17697</v>
      </c>
      <c r="J25" s="322">
        <v>2</v>
      </c>
      <c r="K25" s="335">
        <f t="shared" si="2"/>
        <v>158919.06</v>
      </c>
      <c r="L25" s="322"/>
      <c r="M25" s="335">
        <f t="shared" si="3"/>
        <v>39729.764999999999</v>
      </c>
      <c r="N25" s="335">
        <f t="shared" si="4"/>
        <v>19864.882500000003</v>
      </c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35">
        <f t="shared" si="1"/>
        <v>218513.70750000002</v>
      </c>
      <c r="Z25" s="335">
        <f t="shared" si="5"/>
        <v>2622164.4900000002</v>
      </c>
    </row>
    <row r="26" spans="1:26" s="155" customFormat="1" ht="50.25" customHeight="1">
      <c r="A26" s="322">
        <v>8</v>
      </c>
      <c r="B26" s="323" t="s">
        <v>466</v>
      </c>
      <c r="C26" s="336" t="s">
        <v>585</v>
      </c>
      <c r="D26" s="402" t="s">
        <v>490</v>
      </c>
      <c r="E26" s="339">
        <v>1</v>
      </c>
      <c r="F26" s="322" t="s">
        <v>494</v>
      </c>
      <c r="G26" s="337">
        <v>13.11</v>
      </c>
      <c r="H26" s="337">
        <v>4.49</v>
      </c>
      <c r="I26" s="334">
        <v>17697</v>
      </c>
      <c r="J26" s="322">
        <v>2</v>
      </c>
      <c r="K26" s="335">
        <f t="shared" si="2"/>
        <v>158919.06</v>
      </c>
      <c r="L26" s="322"/>
      <c r="M26" s="335">
        <f t="shared" si="3"/>
        <v>39729.764999999999</v>
      </c>
      <c r="N26" s="335">
        <f t="shared" si="4"/>
        <v>19864.882500000003</v>
      </c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35">
        <f t="shared" si="1"/>
        <v>218513.70750000002</v>
      </c>
      <c r="Z26" s="335">
        <f t="shared" si="5"/>
        <v>2622164.4900000002</v>
      </c>
    </row>
    <row r="27" spans="1:26" s="358" customFormat="1" ht="47.25">
      <c r="A27" s="322">
        <v>9</v>
      </c>
      <c r="B27" s="323" t="s">
        <v>466</v>
      </c>
      <c r="C27" s="336" t="s">
        <v>627</v>
      </c>
      <c r="D27" s="402" t="s">
        <v>490</v>
      </c>
      <c r="E27" s="339">
        <v>1</v>
      </c>
      <c r="F27" s="322" t="s">
        <v>494</v>
      </c>
      <c r="G27" s="346">
        <v>11.11</v>
      </c>
      <c r="H27" s="337">
        <v>4.38</v>
      </c>
      <c r="I27" s="334">
        <v>17697</v>
      </c>
      <c r="J27" s="322">
        <v>2</v>
      </c>
      <c r="K27" s="335">
        <f t="shared" si="2"/>
        <v>155025.72</v>
      </c>
      <c r="L27" s="322"/>
      <c r="M27" s="335">
        <f t="shared" si="3"/>
        <v>38756.43</v>
      </c>
      <c r="N27" s="335">
        <f t="shared" si="4"/>
        <v>19378.215</v>
      </c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35">
        <f t="shared" si="1"/>
        <v>213160.36499999999</v>
      </c>
      <c r="Z27" s="335">
        <f t="shared" si="5"/>
        <v>2557924.38</v>
      </c>
    </row>
    <row r="28" spans="1:26" s="155" customFormat="1" ht="52.5" customHeight="1">
      <c r="A28" s="322">
        <v>10</v>
      </c>
      <c r="B28" s="325" t="s">
        <v>587</v>
      </c>
      <c r="C28" s="336" t="s">
        <v>567</v>
      </c>
      <c r="D28" s="402" t="s">
        <v>490</v>
      </c>
      <c r="E28" s="339">
        <v>1</v>
      </c>
      <c r="F28" s="322" t="s">
        <v>13</v>
      </c>
      <c r="G28" s="349">
        <v>5.2</v>
      </c>
      <c r="H28" s="322">
        <v>3.78</v>
      </c>
      <c r="I28" s="334">
        <v>17697</v>
      </c>
      <c r="J28" s="322">
        <v>2</v>
      </c>
      <c r="K28" s="335">
        <f t="shared" si="2"/>
        <v>133789.32</v>
      </c>
      <c r="L28" s="322"/>
      <c r="M28" s="335">
        <f t="shared" si="3"/>
        <v>33447.33</v>
      </c>
      <c r="N28" s="335">
        <f t="shared" si="4"/>
        <v>16723.665000000005</v>
      </c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35">
        <f t="shared" si="1"/>
        <v>183960.31500000003</v>
      </c>
      <c r="Z28" s="335">
        <f t="shared" si="5"/>
        <v>2207523.7800000003</v>
      </c>
    </row>
    <row r="29" spans="1:26" s="155" customFormat="1" ht="52.5" customHeight="1">
      <c r="A29" s="322">
        <v>11</v>
      </c>
      <c r="B29" s="325" t="s">
        <v>199</v>
      </c>
      <c r="C29" s="336" t="s">
        <v>582</v>
      </c>
      <c r="D29" s="402" t="s">
        <v>490</v>
      </c>
      <c r="E29" s="338">
        <v>1</v>
      </c>
      <c r="F29" s="324" t="s">
        <v>649</v>
      </c>
      <c r="G29" s="340">
        <v>15.1</v>
      </c>
      <c r="H29" s="324">
        <v>4.28</v>
      </c>
      <c r="I29" s="334">
        <v>17697</v>
      </c>
      <c r="J29" s="322">
        <v>2</v>
      </c>
      <c r="K29" s="335">
        <f t="shared" si="2"/>
        <v>151486.32</v>
      </c>
      <c r="L29" s="322"/>
      <c r="M29" s="335">
        <f t="shared" si="3"/>
        <v>37871.58</v>
      </c>
      <c r="N29" s="335">
        <f t="shared" si="4"/>
        <v>18935.790000000005</v>
      </c>
      <c r="O29" s="322"/>
      <c r="P29" s="322"/>
      <c r="Q29" s="322"/>
      <c r="R29" s="322"/>
      <c r="S29" s="322"/>
      <c r="T29" s="322">
        <v>56807</v>
      </c>
      <c r="U29" s="322"/>
      <c r="V29" s="322"/>
      <c r="W29" s="322"/>
      <c r="X29" s="322"/>
      <c r="Y29" s="335">
        <f t="shared" si="1"/>
        <v>265100.69000000006</v>
      </c>
      <c r="Z29" s="335">
        <f t="shared" si="5"/>
        <v>3181208.2800000007</v>
      </c>
    </row>
    <row r="30" spans="1:26" s="155" customFormat="1" ht="52.5" customHeight="1">
      <c r="A30" s="322">
        <v>12</v>
      </c>
      <c r="B30" s="331" t="s">
        <v>498</v>
      </c>
      <c r="C30" s="325" t="s">
        <v>506</v>
      </c>
      <c r="D30" s="402" t="s">
        <v>490</v>
      </c>
      <c r="E30" s="338">
        <v>1</v>
      </c>
      <c r="F30" s="337" t="s">
        <v>13</v>
      </c>
      <c r="G30" s="346">
        <v>5.0999999999999996</v>
      </c>
      <c r="H30" s="324">
        <v>3.78</v>
      </c>
      <c r="I30" s="334">
        <v>17697</v>
      </c>
      <c r="J30" s="322">
        <v>2</v>
      </c>
      <c r="K30" s="335">
        <f t="shared" si="2"/>
        <v>133789.32</v>
      </c>
      <c r="L30" s="322"/>
      <c r="M30" s="335">
        <f t="shared" si="3"/>
        <v>33447.33</v>
      </c>
      <c r="N30" s="335">
        <f t="shared" si="4"/>
        <v>16723.665000000005</v>
      </c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35">
        <f t="shared" si="1"/>
        <v>183960.31500000003</v>
      </c>
      <c r="Z30" s="335">
        <f t="shared" si="5"/>
        <v>2207523.7800000003</v>
      </c>
    </row>
    <row r="31" spans="1:26" s="155" customFormat="1" ht="47.25">
      <c r="A31" s="322">
        <v>13</v>
      </c>
      <c r="B31" s="323" t="s">
        <v>616</v>
      </c>
      <c r="C31" s="336" t="s">
        <v>507</v>
      </c>
      <c r="D31" s="402" t="s">
        <v>490</v>
      </c>
      <c r="E31" s="338">
        <v>1</v>
      </c>
      <c r="F31" s="322" t="s">
        <v>13</v>
      </c>
      <c r="G31" s="322">
        <v>4.1100000000000003</v>
      </c>
      <c r="H31" s="340">
        <v>3.71</v>
      </c>
      <c r="I31" s="334">
        <v>17697</v>
      </c>
      <c r="J31" s="322">
        <v>2</v>
      </c>
      <c r="K31" s="335">
        <f t="shared" si="2"/>
        <v>131311.74</v>
      </c>
      <c r="L31" s="322"/>
      <c r="M31" s="335">
        <f t="shared" si="3"/>
        <v>32827.934999999998</v>
      </c>
      <c r="N31" s="335">
        <f t="shared" si="4"/>
        <v>16413.967499999999</v>
      </c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35">
        <f t="shared" si="1"/>
        <v>180553.64249999999</v>
      </c>
      <c r="Z31" s="335">
        <f t="shared" si="5"/>
        <v>2166643.71</v>
      </c>
    </row>
    <row r="32" spans="1:26" s="155" customFormat="1" ht="41.25" customHeight="1">
      <c r="A32" s="322">
        <v>14</v>
      </c>
      <c r="B32" s="325" t="s">
        <v>586</v>
      </c>
      <c r="C32" s="336" t="s">
        <v>624</v>
      </c>
      <c r="D32" s="402" t="s">
        <v>490</v>
      </c>
      <c r="E32" s="339">
        <v>1</v>
      </c>
      <c r="F32" s="324" t="s">
        <v>13</v>
      </c>
      <c r="G32" s="322" t="s">
        <v>625</v>
      </c>
      <c r="H32" s="324">
        <v>3.52</v>
      </c>
      <c r="I32" s="334">
        <v>17697</v>
      </c>
      <c r="J32" s="322">
        <v>2</v>
      </c>
      <c r="K32" s="335">
        <f>E32*H32*I32*J32</f>
        <v>124586.88</v>
      </c>
      <c r="L32" s="322"/>
      <c r="M32" s="335">
        <f>K32*25%</f>
        <v>31146.720000000001</v>
      </c>
      <c r="N32" s="335">
        <f>(K32+M32)*10%</f>
        <v>15573.36</v>
      </c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35">
        <f t="shared" si="1"/>
        <v>171306.96000000002</v>
      </c>
      <c r="Z32" s="335">
        <f>Y32*12</f>
        <v>2055683.5200000003</v>
      </c>
    </row>
    <row r="33" spans="1:30" s="155" customFormat="1" ht="54.75" customHeight="1">
      <c r="A33" s="322">
        <v>15</v>
      </c>
      <c r="B33" s="371" t="s">
        <v>613</v>
      </c>
      <c r="C33" s="323" t="s">
        <v>631</v>
      </c>
      <c r="D33" s="372" t="s">
        <v>490</v>
      </c>
      <c r="E33" s="402">
        <v>1</v>
      </c>
      <c r="F33" s="322" t="s">
        <v>494</v>
      </c>
      <c r="G33" s="372">
        <v>0.7</v>
      </c>
      <c r="H33" s="372">
        <v>4.0999999999999996</v>
      </c>
      <c r="I33" s="373">
        <v>17697</v>
      </c>
      <c r="J33" s="322">
        <v>2</v>
      </c>
      <c r="K33" s="374">
        <f>E33*H33*I33*J33</f>
        <v>145115.4</v>
      </c>
      <c r="L33" s="402"/>
      <c r="M33" s="335">
        <f>K33*25%</f>
        <v>36278.85</v>
      </c>
      <c r="N33" s="335">
        <f>(K33+M33)*10%</f>
        <v>18139.424999999999</v>
      </c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35">
        <f t="shared" si="1"/>
        <v>199533.67499999999</v>
      </c>
      <c r="Z33" s="335">
        <f>Y33*12</f>
        <v>2394404.0999999996</v>
      </c>
    </row>
    <row r="34" spans="1:30" s="155" customFormat="1" ht="51.75" customHeight="1">
      <c r="A34" s="322">
        <v>16</v>
      </c>
      <c r="B34" s="325" t="s">
        <v>467</v>
      </c>
      <c r="C34" s="379" t="s">
        <v>521</v>
      </c>
      <c r="D34" s="402" t="s">
        <v>490</v>
      </c>
      <c r="E34" s="339">
        <v>1</v>
      </c>
      <c r="F34" s="337" t="s">
        <v>588</v>
      </c>
      <c r="G34" s="337">
        <v>14</v>
      </c>
      <c r="H34" s="337">
        <v>4.3</v>
      </c>
      <c r="I34" s="334">
        <v>17697</v>
      </c>
      <c r="J34" s="322">
        <v>2.6</v>
      </c>
      <c r="K34" s="335">
        <f t="shared" si="2"/>
        <v>197852.46</v>
      </c>
      <c r="L34" s="322"/>
      <c r="M34" s="335">
        <f t="shared" si="3"/>
        <v>49463.114999999998</v>
      </c>
      <c r="N34" s="335">
        <f t="shared" si="4"/>
        <v>24731.557499999999</v>
      </c>
      <c r="O34" s="322"/>
      <c r="P34" s="322"/>
      <c r="Q34" s="322"/>
      <c r="R34" s="322"/>
      <c r="S34" s="322"/>
      <c r="T34" s="322"/>
      <c r="U34" s="335">
        <f>(K34+M34)*35%</f>
        <v>86560.451249999984</v>
      </c>
      <c r="V34" s="322"/>
      <c r="W34" s="322"/>
      <c r="X34" s="322"/>
      <c r="Y34" s="335">
        <f t="shared" si="1"/>
        <v>358607.58374999999</v>
      </c>
      <c r="Z34" s="335">
        <f t="shared" si="5"/>
        <v>4303291.0049999999</v>
      </c>
    </row>
    <row r="35" spans="1:30" s="155" customFormat="1" ht="47.25">
      <c r="A35" s="322">
        <v>17</v>
      </c>
      <c r="B35" s="325" t="s">
        <v>467</v>
      </c>
      <c r="C35" s="379" t="s">
        <v>534</v>
      </c>
      <c r="D35" s="402" t="s">
        <v>490</v>
      </c>
      <c r="E35" s="338">
        <v>1</v>
      </c>
      <c r="F35" s="337" t="s">
        <v>648</v>
      </c>
      <c r="G35" s="337">
        <v>22.11</v>
      </c>
      <c r="H35" s="337">
        <v>4.6900000000000004</v>
      </c>
      <c r="I35" s="334">
        <v>17697</v>
      </c>
      <c r="J35" s="322">
        <v>2.6</v>
      </c>
      <c r="K35" s="335">
        <f t="shared" si="2"/>
        <v>215797.21800000002</v>
      </c>
      <c r="L35" s="322"/>
      <c r="M35" s="335">
        <f t="shared" si="3"/>
        <v>53949.304500000006</v>
      </c>
      <c r="N35" s="335">
        <f t="shared" si="4"/>
        <v>26974.652250000003</v>
      </c>
      <c r="O35" s="322"/>
      <c r="P35" s="322"/>
      <c r="Q35" s="322"/>
      <c r="R35" s="322"/>
      <c r="S35" s="322"/>
      <c r="T35" s="322"/>
      <c r="U35" s="335"/>
      <c r="V35" s="335">
        <f>(K35+M35)*40%</f>
        <v>107898.60900000001</v>
      </c>
      <c r="W35" s="322"/>
      <c r="X35" s="322"/>
      <c r="Y35" s="335">
        <f t="shared" si="1"/>
        <v>404619.78375</v>
      </c>
      <c r="Z35" s="335">
        <f t="shared" si="5"/>
        <v>4855437.4050000003</v>
      </c>
    </row>
    <row r="36" spans="1:30" s="155" customFormat="1" ht="42.75" customHeight="1">
      <c r="A36" s="322">
        <v>18</v>
      </c>
      <c r="B36" s="336" t="s">
        <v>218</v>
      </c>
      <c r="C36" s="323" t="s">
        <v>590</v>
      </c>
      <c r="D36" s="402" t="s">
        <v>490</v>
      </c>
      <c r="E36" s="322">
        <v>1</v>
      </c>
      <c r="F36" s="322" t="s">
        <v>12</v>
      </c>
      <c r="G36" s="322">
        <v>16</v>
      </c>
      <c r="H36" s="322">
        <v>5.09</v>
      </c>
      <c r="I36" s="334">
        <v>17697</v>
      </c>
      <c r="J36" s="322">
        <v>1.45</v>
      </c>
      <c r="K36" s="335">
        <f t="shared" si="2"/>
        <v>130612.70849999999</v>
      </c>
      <c r="L36" s="322"/>
      <c r="M36" s="335">
        <f t="shared" si="3"/>
        <v>32653.177124999998</v>
      </c>
      <c r="N36" s="335">
        <f t="shared" si="4"/>
        <v>16326.588562500001</v>
      </c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35">
        <f t="shared" si="1"/>
        <v>179592.47418749999</v>
      </c>
      <c r="Z36" s="335">
        <f t="shared" si="5"/>
        <v>2155109.69025</v>
      </c>
    </row>
    <row r="37" spans="1:30" s="155" customFormat="1" ht="47.25">
      <c r="A37" s="322">
        <v>19</v>
      </c>
      <c r="B37" s="336" t="s">
        <v>209</v>
      </c>
      <c r="C37" s="336" t="s">
        <v>591</v>
      </c>
      <c r="D37" s="402" t="s">
        <v>490</v>
      </c>
      <c r="E37" s="338">
        <v>1</v>
      </c>
      <c r="F37" s="337" t="s">
        <v>13</v>
      </c>
      <c r="G37" s="337">
        <v>16.600000000000001</v>
      </c>
      <c r="H37" s="337">
        <v>4.0599999999999996</v>
      </c>
      <c r="I37" s="334">
        <v>17697</v>
      </c>
      <c r="J37" s="322">
        <v>1.45</v>
      </c>
      <c r="K37" s="335">
        <f t="shared" si="2"/>
        <v>104182.23899999999</v>
      </c>
      <c r="L37" s="322"/>
      <c r="M37" s="335"/>
      <c r="N37" s="335">
        <f t="shared" si="4"/>
        <v>10418.223899999999</v>
      </c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35">
        <f t="shared" si="1"/>
        <v>114600.46289999998</v>
      </c>
      <c r="Z37" s="335">
        <f t="shared" si="5"/>
        <v>1375205.5547999998</v>
      </c>
    </row>
    <row r="38" spans="1:30" s="155" customFormat="1" ht="49.5" customHeight="1">
      <c r="A38" s="322">
        <v>20</v>
      </c>
      <c r="B38" s="336" t="s">
        <v>209</v>
      </c>
      <c r="C38" s="323" t="s">
        <v>647</v>
      </c>
      <c r="D38" s="402" t="s">
        <v>589</v>
      </c>
      <c r="E38" s="322">
        <v>1</v>
      </c>
      <c r="F38" s="337" t="s">
        <v>650</v>
      </c>
      <c r="G38" s="322">
        <v>1.8</v>
      </c>
      <c r="H38" s="341">
        <v>3.36</v>
      </c>
      <c r="I38" s="334">
        <v>17697</v>
      </c>
      <c r="J38" s="322">
        <v>1.45</v>
      </c>
      <c r="K38" s="335">
        <f t="shared" si="2"/>
        <v>86219.784</v>
      </c>
      <c r="L38" s="322"/>
      <c r="M38" s="335"/>
      <c r="N38" s="335">
        <f t="shared" si="4"/>
        <v>8621.9784</v>
      </c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35">
        <f t="shared" si="1"/>
        <v>94841.762400000007</v>
      </c>
      <c r="Z38" s="335">
        <f t="shared" si="5"/>
        <v>1138101.1488000001</v>
      </c>
    </row>
    <row r="39" spans="1:30" s="155" customFormat="1" ht="36.75" customHeight="1">
      <c r="A39" s="322"/>
      <c r="B39" s="336" t="s">
        <v>194</v>
      </c>
      <c r="C39" s="323" t="s">
        <v>644</v>
      </c>
      <c r="D39" s="402" t="s">
        <v>589</v>
      </c>
      <c r="E39" s="322">
        <v>1</v>
      </c>
      <c r="F39" s="322" t="s">
        <v>322</v>
      </c>
      <c r="G39" s="340">
        <v>0.1</v>
      </c>
      <c r="H39" s="341">
        <v>3.31</v>
      </c>
      <c r="I39" s="334">
        <v>17697</v>
      </c>
      <c r="J39" s="322">
        <v>1.45</v>
      </c>
      <c r="K39" s="335">
        <f t="shared" si="2"/>
        <v>84936.751499999998</v>
      </c>
      <c r="L39" s="322"/>
      <c r="M39" s="335"/>
      <c r="N39" s="335">
        <f t="shared" si="4"/>
        <v>8493.6751500000009</v>
      </c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35">
        <f t="shared" si="1"/>
        <v>93430.426649999994</v>
      </c>
      <c r="Z39" s="335">
        <f t="shared" si="5"/>
        <v>1121165.1198</v>
      </c>
    </row>
    <row r="40" spans="1:30" s="155" customFormat="1" ht="47.25">
      <c r="A40" s="322">
        <v>21</v>
      </c>
      <c r="B40" s="323" t="s">
        <v>592</v>
      </c>
      <c r="C40" s="323" t="s">
        <v>594</v>
      </c>
      <c r="D40" s="402" t="s">
        <v>589</v>
      </c>
      <c r="E40" s="322">
        <v>1</v>
      </c>
      <c r="F40" s="322" t="s">
        <v>593</v>
      </c>
      <c r="G40" s="342">
        <v>14.9</v>
      </c>
      <c r="H40" s="324">
        <v>3.19</v>
      </c>
      <c r="I40" s="334">
        <v>17697</v>
      </c>
      <c r="J40" s="322">
        <v>1.45</v>
      </c>
      <c r="K40" s="335">
        <f t="shared" si="2"/>
        <v>81857.473499999993</v>
      </c>
      <c r="L40" s="322"/>
      <c r="M40" s="335"/>
      <c r="N40" s="335">
        <f t="shared" si="4"/>
        <v>8185.7473499999996</v>
      </c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35">
        <f t="shared" si="1"/>
        <v>90043.220849999998</v>
      </c>
      <c r="Z40" s="335">
        <f t="shared" si="5"/>
        <v>1080518.6502</v>
      </c>
      <c r="AD40" s="322"/>
    </row>
    <row r="41" spans="1:30" s="155" customFormat="1" ht="38.25" customHeight="1">
      <c r="A41" s="322">
        <v>22</v>
      </c>
      <c r="B41" s="343" t="s">
        <v>645</v>
      </c>
      <c r="C41" s="323" t="s">
        <v>595</v>
      </c>
      <c r="D41" s="402" t="s">
        <v>497</v>
      </c>
      <c r="E41" s="322">
        <v>1</v>
      </c>
      <c r="F41" s="322">
        <v>1</v>
      </c>
      <c r="G41" s="322">
        <v>26.15</v>
      </c>
      <c r="H41" s="322">
        <v>2.77</v>
      </c>
      <c r="I41" s="334">
        <v>17697</v>
      </c>
      <c r="J41" s="322">
        <v>1.45</v>
      </c>
      <c r="K41" s="335">
        <f t="shared" si="2"/>
        <v>71080.000499999995</v>
      </c>
      <c r="L41" s="322"/>
      <c r="M41" s="335"/>
      <c r="N41" s="335">
        <f t="shared" si="4"/>
        <v>7108.0000499999996</v>
      </c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35">
        <f t="shared" si="1"/>
        <v>78188.000549999997</v>
      </c>
      <c r="Z41" s="335">
        <f t="shared" si="5"/>
        <v>938256.00659999996</v>
      </c>
    </row>
    <row r="42" spans="1:30" s="155" customFormat="1" ht="34.5" customHeight="1">
      <c r="A42" s="322">
        <v>23</v>
      </c>
      <c r="B42" s="343" t="s">
        <v>646</v>
      </c>
      <c r="C42" s="325" t="s">
        <v>596</v>
      </c>
      <c r="D42" s="402" t="s">
        <v>497</v>
      </c>
      <c r="E42" s="337">
        <v>1.5</v>
      </c>
      <c r="F42" s="322">
        <v>3</v>
      </c>
      <c r="G42" s="322">
        <v>12.7</v>
      </c>
      <c r="H42" s="322">
        <v>2.84</v>
      </c>
      <c r="I42" s="334">
        <v>17697</v>
      </c>
      <c r="J42" s="322">
        <v>1.45</v>
      </c>
      <c r="K42" s="335">
        <f t="shared" si="2"/>
        <v>109314.36899999999</v>
      </c>
      <c r="L42" s="322"/>
      <c r="M42" s="335"/>
      <c r="N42" s="335">
        <f t="shared" si="4"/>
        <v>10931.436900000001</v>
      </c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35">
        <f t="shared" si="1"/>
        <v>120245.80589999999</v>
      </c>
      <c r="Z42" s="335">
        <f t="shared" si="5"/>
        <v>1442949.6708</v>
      </c>
    </row>
    <row r="43" spans="1:30" s="155" customFormat="1" ht="47.25">
      <c r="A43" s="322">
        <v>24</v>
      </c>
      <c r="B43" s="343" t="s">
        <v>468</v>
      </c>
      <c r="C43" s="344" t="s">
        <v>598</v>
      </c>
      <c r="D43" s="402" t="s">
        <v>497</v>
      </c>
      <c r="E43" s="337">
        <v>1</v>
      </c>
      <c r="F43" s="322">
        <v>1</v>
      </c>
      <c r="G43" s="322">
        <v>5</v>
      </c>
      <c r="H43" s="322">
        <v>2.77</v>
      </c>
      <c r="I43" s="334">
        <v>17697</v>
      </c>
      <c r="J43" s="322">
        <v>1.45</v>
      </c>
      <c r="K43" s="335">
        <f t="shared" si="2"/>
        <v>71080.000499999995</v>
      </c>
      <c r="L43" s="322"/>
      <c r="M43" s="335"/>
      <c r="N43" s="335">
        <f t="shared" si="4"/>
        <v>7108.0000499999996</v>
      </c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35">
        <f t="shared" si="1"/>
        <v>78188.000549999997</v>
      </c>
      <c r="Z43" s="335">
        <f t="shared" si="5"/>
        <v>938256.00659999996</v>
      </c>
    </row>
    <row r="44" spans="1:30" s="155" customFormat="1" ht="47.25">
      <c r="A44" s="322">
        <v>25</v>
      </c>
      <c r="B44" s="343" t="s">
        <v>468</v>
      </c>
      <c r="C44" s="325" t="s">
        <v>599</v>
      </c>
      <c r="D44" s="402" t="s">
        <v>497</v>
      </c>
      <c r="E44" s="337">
        <v>1</v>
      </c>
      <c r="F44" s="322">
        <v>1</v>
      </c>
      <c r="G44" s="322">
        <v>3.11</v>
      </c>
      <c r="H44" s="322">
        <v>2.77</v>
      </c>
      <c r="I44" s="334">
        <v>17697</v>
      </c>
      <c r="J44" s="322">
        <v>1.45</v>
      </c>
      <c r="K44" s="335">
        <f t="shared" si="2"/>
        <v>71080.000499999995</v>
      </c>
      <c r="L44" s="322"/>
      <c r="M44" s="335"/>
      <c r="N44" s="335">
        <f t="shared" si="4"/>
        <v>7108.0000499999996</v>
      </c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35">
        <f t="shared" si="1"/>
        <v>78188.000549999997</v>
      </c>
      <c r="Z44" s="335">
        <f t="shared" si="5"/>
        <v>938256.00659999996</v>
      </c>
    </row>
    <row r="45" spans="1:30" s="155" customFormat="1" ht="38.25" customHeight="1">
      <c r="A45" s="322">
        <v>26</v>
      </c>
      <c r="B45" s="343" t="s">
        <v>468</v>
      </c>
      <c r="C45" s="345" t="s">
        <v>600</v>
      </c>
      <c r="D45" s="402" t="s">
        <v>497</v>
      </c>
      <c r="E45" s="337">
        <v>1</v>
      </c>
      <c r="F45" s="322">
        <v>1</v>
      </c>
      <c r="G45" s="322">
        <v>6.4</v>
      </c>
      <c r="H45" s="322">
        <v>2.77</v>
      </c>
      <c r="I45" s="334">
        <v>17697</v>
      </c>
      <c r="J45" s="322">
        <v>1.45</v>
      </c>
      <c r="K45" s="335">
        <f t="shared" si="2"/>
        <v>71080.000499999995</v>
      </c>
      <c r="L45" s="322"/>
      <c r="M45" s="335"/>
      <c r="N45" s="335">
        <f t="shared" si="4"/>
        <v>7108.0000499999996</v>
      </c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35">
        <f t="shared" si="1"/>
        <v>78188.000549999997</v>
      </c>
      <c r="Z45" s="335">
        <f t="shared" si="5"/>
        <v>938256.00659999996</v>
      </c>
    </row>
    <row r="46" spans="1:30" s="155" customFormat="1" ht="47.25">
      <c r="A46" s="322">
        <v>27</v>
      </c>
      <c r="B46" s="343" t="s">
        <v>468</v>
      </c>
      <c r="C46" s="325" t="s">
        <v>601</v>
      </c>
      <c r="D46" s="402" t="s">
        <v>497</v>
      </c>
      <c r="E46" s="337">
        <v>1</v>
      </c>
      <c r="F46" s="322">
        <v>1</v>
      </c>
      <c r="G46" s="322">
        <v>3.11</v>
      </c>
      <c r="H46" s="322">
        <v>2.77</v>
      </c>
      <c r="I46" s="334">
        <v>17697</v>
      </c>
      <c r="J46" s="322">
        <v>1.45</v>
      </c>
      <c r="K46" s="335">
        <f t="shared" si="2"/>
        <v>71080.000499999995</v>
      </c>
      <c r="L46" s="322"/>
      <c r="M46" s="335"/>
      <c r="N46" s="335">
        <f t="shared" si="4"/>
        <v>7108.0000499999996</v>
      </c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35">
        <f t="shared" si="1"/>
        <v>78188.000549999997</v>
      </c>
      <c r="Z46" s="335">
        <f t="shared" si="5"/>
        <v>938256.00659999996</v>
      </c>
    </row>
    <row r="47" spans="1:30" s="155" customFormat="1" ht="47.25">
      <c r="A47" s="322">
        <v>28</v>
      </c>
      <c r="B47" s="343" t="s">
        <v>468</v>
      </c>
      <c r="C47" s="325" t="s">
        <v>602</v>
      </c>
      <c r="D47" s="402" t="s">
        <v>497</v>
      </c>
      <c r="E47" s="337">
        <v>1</v>
      </c>
      <c r="F47" s="322">
        <v>1</v>
      </c>
      <c r="G47" s="322">
        <v>4</v>
      </c>
      <c r="H47" s="322">
        <v>2.77</v>
      </c>
      <c r="I47" s="334">
        <v>17697</v>
      </c>
      <c r="J47" s="322">
        <v>1.45</v>
      </c>
      <c r="K47" s="335">
        <f t="shared" si="2"/>
        <v>71080.000499999995</v>
      </c>
      <c r="L47" s="322"/>
      <c r="M47" s="335"/>
      <c r="N47" s="335">
        <f t="shared" si="4"/>
        <v>7108.0000499999996</v>
      </c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35">
        <f t="shared" si="1"/>
        <v>78188.000549999997</v>
      </c>
      <c r="Z47" s="335">
        <f t="shared" si="5"/>
        <v>938256.00659999996</v>
      </c>
    </row>
    <row r="48" spans="1:30" s="155" customFormat="1" ht="47.25">
      <c r="A48" s="322">
        <v>29</v>
      </c>
      <c r="B48" s="343" t="s">
        <v>468</v>
      </c>
      <c r="C48" s="325" t="s">
        <v>603</v>
      </c>
      <c r="D48" s="402" t="s">
        <v>497</v>
      </c>
      <c r="E48" s="337">
        <v>1</v>
      </c>
      <c r="F48" s="322">
        <v>1</v>
      </c>
      <c r="G48" s="322">
        <v>3.11</v>
      </c>
      <c r="H48" s="322">
        <v>2.77</v>
      </c>
      <c r="I48" s="334">
        <v>17697</v>
      </c>
      <c r="J48" s="322">
        <v>1.45</v>
      </c>
      <c r="K48" s="335">
        <f t="shared" si="2"/>
        <v>71080.000499999995</v>
      </c>
      <c r="L48" s="322"/>
      <c r="M48" s="335"/>
      <c r="N48" s="335">
        <f t="shared" si="4"/>
        <v>7108.0000499999996</v>
      </c>
      <c r="O48" s="322"/>
      <c r="P48" s="322">
        <v>5309</v>
      </c>
      <c r="Q48" s="322"/>
      <c r="R48" s="322"/>
      <c r="S48" s="322"/>
      <c r="T48" s="322"/>
      <c r="U48" s="322"/>
      <c r="V48" s="322"/>
      <c r="W48" s="322"/>
      <c r="X48" s="322"/>
      <c r="Y48" s="335">
        <f t="shared" si="1"/>
        <v>83497.000549999997</v>
      </c>
      <c r="Z48" s="335">
        <f t="shared" si="5"/>
        <v>1001964.0066</v>
      </c>
    </row>
    <row r="49" spans="1:39" s="155" customFormat="1" ht="31.5">
      <c r="A49" s="322">
        <v>30</v>
      </c>
      <c r="B49" s="343" t="s">
        <v>468</v>
      </c>
      <c r="C49" s="325" t="s">
        <v>604</v>
      </c>
      <c r="D49" s="402" t="s">
        <v>497</v>
      </c>
      <c r="E49" s="337">
        <v>1</v>
      </c>
      <c r="F49" s="322">
        <v>1</v>
      </c>
      <c r="G49" s="322">
        <v>3.11</v>
      </c>
      <c r="H49" s="322">
        <v>2.77</v>
      </c>
      <c r="I49" s="334">
        <v>17697</v>
      </c>
      <c r="J49" s="322">
        <v>1.45</v>
      </c>
      <c r="K49" s="335">
        <f t="shared" si="2"/>
        <v>71080.000499999995</v>
      </c>
      <c r="L49" s="322"/>
      <c r="M49" s="335"/>
      <c r="N49" s="335">
        <f t="shared" si="4"/>
        <v>7108.0000499999996</v>
      </c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35">
        <f t="shared" si="1"/>
        <v>78188.000549999997</v>
      </c>
      <c r="Z49" s="335">
        <f t="shared" si="5"/>
        <v>938256.00659999996</v>
      </c>
    </row>
    <row r="50" spans="1:39" s="155" customFormat="1" ht="35.25" customHeight="1">
      <c r="A50" s="322">
        <v>31</v>
      </c>
      <c r="B50" s="343" t="s">
        <v>468</v>
      </c>
      <c r="C50" s="323" t="s">
        <v>605</v>
      </c>
      <c r="D50" s="402" t="s">
        <v>497</v>
      </c>
      <c r="E50" s="337">
        <v>1</v>
      </c>
      <c r="F50" s="322">
        <v>1</v>
      </c>
      <c r="G50" s="322">
        <v>14.9</v>
      </c>
      <c r="H50" s="322">
        <v>2.77</v>
      </c>
      <c r="I50" s="334">
        <v>17697</v>
      </c>
      <c r="J50" s="322">
        <v>1.45</v>
      </c>
      <c r="K50" s="335">
        <f t="shared" si="2"/>
        <v>71080.000499999995</v>
      </c>
      <c r="L50" s="322"/>
      <c r="M50" s="335"/>
      <c r="N50" s="335">
        <f t="shared" si="4"/>
        <v>7108.0000499999996</v>
      </c>
      <c r="O50" s="322"/>
      <c r="P50" s="322">
        <v>5309</v>
      </c>
      <c r="Q50" s="322"/>
      <c r="R50" s="322"/>
      <c r="S50" s="322"/>
      <c r="T50" s="322"/>
      <c r="U50" s="322"/>
      <c r="V50" s="322"/>
      <c r="W50" s="322"/>
      <c r="X50" s="322"/>
      <c r="Y50" s="335">
        <f t="shared" si="1"/>
        <v>83497.000549999997</v>
      </c>
      <c r="Z50" s="335">
        <f t="shared" si="5"/>
        <v>1001964.0066</v>
      </c>
    </row>
    <row r="51" spans="1:39" s="155" customFormat="1" ht="52.5" customHeight="1">
      <c r="A51" s="322">
        <v>32</v>
      </c>
      <c r="B51" s="343" t="s">
        <v>468</v>
      </c>
      <c r="C51" s="325" t="s">
        <v>606</v>
      </c>
      <c r="D51" s="402" t="s">
        <v>497</v>
      </c>
      <c r="E51" s="337">
        <v>1</v>
      </c>
      <c r="F51" s="322">
        <v>1</v>
      </c>
      <c r="G51" s="322">
        <v>8.8000000000000007</v>
      </c>
      <c r="H51" s="322">
        <v>2.77</v>
      </c>
      <c r="I51" s="334">
        <v>17697</v>
      </c>
      <c r="J51" s="322">
        <v>1.45</v>
      </c>
      <c r="K51" s="335">
        <f t="shared" si="2"/>
        <v>71080.000499999995</v>
      </c>
      <c r="L51" s="322"/>
      <c r="M51" s="335"/>
      <c r="N51" s="335">
        <f t="shared" si="4"/>
        <v>7108.0000499999996</v>
      </c>
      <c r="O51" s="322"/>
      <c r="P51" s="322">
        <v>5309</v>
      </c>
      <c r="Q51" s="322"/>
      <c r="R51" s="322"/>
      <c r="S51" s="322"/>
      <c r="T51" s="322"/>
      <c r="U51" s="322"/>
      <c r="V51" s="322"/>
      <c r="W51" s="322"/>
      <c r="X51" s="322"/>
      <c r="Y51" s="335">
        <f t="shared" si="1"/>
        <v>83497.000549999997</v>
      </c>
      <c r="Z51" s="335">
        <f t="shared" si="5"/>
        <v>1001964.0066</v>
      </c>
    </row>
    <row r="52" spans="1:39" s="155" customFormat="1" ht="31.5">
      <c r="A52" s="322">
        <v>33</v>
      </c>
      <c r="B52" s="343" t="s">
        <v>468</v>
      </c>
      <c r="C52" s="345" t="s">
        <v>607</v>
      </c>
      <c r="D52" s="402" t="s">
        <v>497</v>
      </c>
      <c r="E52" s="337">
        <v>1</v>
      </c>
      <c r="F52" s="322">
        <v>1</v>
      </c>
      <c r="G52" s="322">
        <v>1.1100000000000001</v>
      </c>
      <c r="H52" s="322">
        <v>2.77</v>
      </c>
      <c r="I52" s="334">
        <v>17697</v>
      </c>
      <c r="J52" s="322">
        <v>1.45</v>
      </c>
      <c r="K52" s="335">
        <f t="shared" si="2"/>
        <v>71080.000499999995</v>
      </c>
      <c r="L52" s="322"/>
      <c r="M52" s="335"/>
      <c r="N52" s="335">
        <f t="shared" si="4"/>
        <v>7108.0000499999996</v>
      </c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35">
        <f t="shared" si="1"/>
        <v>78188.000549999997</v>
      </c>
      <c r="Z52" s="335">
        <f t="shared" si="5"/>
        <v>938256.00659999996</v>
      </c>
    </row>
    <row r="53" spans="1:39" s="155" customFormat="1" ht="31.5">
      <c r="A53" s="322">
        <v>34</v>
      </c>
      <c r="B53" s="343" t="s">
        <v>468</v>
      </c>
      <c r="C53" s="325" t="s">
        <v>608</v>
      </c>
      <c r="D53" s="402" t="s">
        <v>497</v>
      </c>
      <c r="E53" s="337">
        <v>1</v>
      </c>
      <c r="F53" s="322">
        <v>1</v>
      </c>
      <c r="G53" s="322">
        <v>6.7</v>
      </c>
      <c r="H53" s="322">
        <v>2.77</v>
      </c>
      <c r="I53" s="334">
        <v>17697</v>
      </c>
      <c r="J53" s="322">
        <v>1.45</v>
      </c>
      <c r="K53" s="335">
        <f t="shared" si="2"/>
        <v>71080.000499999995</v>
      </c>
      <c r="L53" s="322"/>
      <c r="M53" s="335"/>
      <c r="N53" s="335">
        <f t="shared" si="4"/>
        <v>7108.0000499999996</v>
      </c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35">
        <f t="shared" si="1"/>
        <v>78188.000549999997</v>
      </c>
      <c r="Z53" s="335">
        <f t="shared" si="5"/>
        <v>938256.00659999996</v>
      </c>
    </row>
    <row r="54" spans="1:39" s="155" customFormat="1" ht="33.75" customHeight="1">
      <c r="A54" s="322">
        <v>35</v>
      </c>
      <c r="B54" s="343" t="s">
        <v>468</v>
      </c>
      <c r="C54" s="323" t="s">
        <v>609</v>
      </c>
      <c r="D54" s="402" t="s">
        <v>497</v>
      </c>
      <c r="E54" s="337">
        <v>1</v>
      </c>
      <c r="F54" s="322">
        <v>1</v>
      </c>
      <c r="G54" s="322">
        <v>1.5</v>
      </c>
      <c r="H54" s="322">
        <v>2.77</v>
      </c>
      <c r="I54" s="334">
        <v>17697</v>
      </c>
      <c r="J54" s="322">
        <v>1.45</v>
      </c>
      <c r="K54" s="335">
        <f t="shared" si="2"/>
        <v>71080.000499999995</v>
      </c>
      <c r="L54" s="322"/>
      <c r="M54" s="335"/>
      <c r="N54" s="335">
        <f t="shared" si="4"/>
        <v>7108.0000499999996</v>
      </c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35">
        <f t="shared" si="1"/>
        <v>78188.000549999997</v>
      </c>
      <c r="Z54" s="335">
        <f t="shared" si="5"/>
        <v>938256.00659999996</v>
      </c>
    </row>
    <row r="55" spans="1:39" s="155" customFormat="1" ht="34.5" customHeight="1">
      <c r="A55" s="322">
        <v>36</v>
      </c>
      <c r="B55" s="323" t="s">
        <v>301</v>
      </c>
      <c r="C55" s="325" t="s">
        <v>610</v>
      </c>
      <c r="D55" s="402" t="s">
        <v>497</v>
      </c>
      <c r="E55" s="337">
        <v>1</v>
      </c>
      <c r="F55" s="322">
        <v>1</v>
      </c>
      <c r="G55" s="322">
        <v>6.9</v>
      </c>
      <c r="H55" s="322">
        <v>2.77</v>
      </c>
      <c r="I55" s="334">
        <v>17697</v>
      </c>
      <c r="J55" s="322">
        <v>1.45</v>
      </c>
      <c r="K55" s="335">
        <f t="shared" si="2"/>
        <v>71080.000499999995</v>
      </c>
      <c r="L55" s="322"/>
      <c r="M55" s="335"/>
      <c r="N55" s="335">
        <f t="shared" si="4"/>
        <v>7108.0000499999996</v>
      </c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35">
        <f t="shared" si="1"/>
        <v>78188.000549999997</v>
      </c>
      <c r="Z55" s="335">
        <f t="shared" si="5"/>
        <v>938256.00659999996</v>
      </c>
    </row>
    <row r="56" spans="1:39" s="155" customFormat="1" ht="47.25">
      <c r="A56" s="322">
        <v>37</v>
      </c>
      <c r="B56" s="325" t="s">
        <v>496</v>
      </c>
      <c r="C56" s="325" t="s">
        <v>611</v>
      </c>
      <c r="D56" s="402" t="s">
        <v>497</v>
      </c>
      <c r="E56" s="322">
        <v>1</v>
      </c>
      <c r="F56" s="322">
        <v>1</v>
      </c>
      <c r="G56" s="322">
        <v>24.6</v>
      </c>
      <c r="H56" s="322">
        <v>2.77</v>
      </c>
      <c r="I56" s="334">
        <v>17697</v>
      </c>
      <c r="J56" s="322">
        <v>1.45</v>
      </c>
      <c r="K56" s="335">
        <f t="shared" si="2"/>
        <v>71080.000499999995</v>
      </c>
      <c r="L56" s="322"/>
      <c r="M56" s="335"/>
      <c r="N56" s="335">
        <f t="shared" si="4"/>
        <v>7108.0000499999996</v>
      </c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35">
        <f t="shared" si="1"/>
        <v>78188.000549999997</v>
      </c>
      <c r="Z56" s="335">
        <f t="shared" si="5"/>
        <v>938256.00659999996</v>
      </c>
    </row>
    <row r="57" spans="1:39" s="155" customFormat="1" ht="47.25">
      <c r="A57" s="322">
        <v>38</v>
      </c>
      <c r="B57" s="325" t="s">
        <v>496</v>
      </c>
      <c r="C57" s="325" t="s">
        <v>612</v>
      </c>
      <c r="D57" s="402" t="s">
        <v>497</v>
      </c>
      <c r="E57" s="322">
        <v>1</v>
      </c>
      <c r="F57" s="322">
        <v>1</v>
      </c>
      <c r="G57" s="322">
        <v>9.6999999999999993</v>
      </c>
      <c r="H57" s="322">
        <v>2.77</v>
      </c>
      <c r="I57" s="334">
        <v>17697</v>
      </c>
      <c r="J57" s="322">
        <v>1.45</v>
      </c>
      <c r="K57" s="335">
        <f t="shared" si="2"/>
        <v>71080.000499999995</v>
      </c>
      <c r="L57" s="322"/>
      <c r="M57" s="335"/>
      <c r="N57" s="335">
        <f t="shared" si="4"/>
        <v>7108.0000499999996</v>
      </c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35">
        <f t="shared" si="1"/>
        <v>78188.000549999997</v>
      </c>
      <c r="Z57" s="335">
        <f t="shared" si="5"/>
        <v>938256.00659999996</v>
      </c>
    </row>
    <row r="58" spans="1:39" s="155" customFormat="1" ht="33.75" customHeight="1">
      <c r="A58" s="322">
        <v>39</v>
      </c>
      <c r="B58" s="376" t="s">
        <v>220</v>
      </c>
      <c r="C58" s="345" t="s">
        <v>495</v>
      </c>
      <c r="D58" s="402" t="s">
        <v>490</v>
      </c>
      <c r="E58" s="402">
        <v>1</v>
      </c>
      <c r="F58" s="402" t="s">
        <v>11</v>
      </c>
      <c r="G58" s="402">
        <v>25</v>
      </c>
      <c r="H58" s="377">
        <v>4.83</v>
      </c>
      <c r="I58" s="373">
        <v>17697</v>
      </c>
      <c r="J58" s="322">
        <v>1.45</v>
      </c>
      <c r="K58" s="374">
        <f t="shared" si="2"/>
        <v>123940.93949999999</v>
      </c>
      <c r="L58" s="402"/>
      <c r="M58" s="335">
        <f>K58*25%</f>
        <v>30985.234874999998</v>
      </c>
      <c r="N58" s="335">
        <f t="shared" si="4"/>
        <v>15492.617437500001</v>
      </c>
      <c r="O58" s="402"/>
      <c r="P58" s="402">
        <v>5309</v>
      </c>
      <c r="Q58" s="402"/>
      <c r="R58" s="402"/>
      <c r="S58" s="402"/>
      <c r="T58" s="402"/>
      <c r="U58" s="402"/>
      <c r="V58" s="402"/>
      <c r="W58" s="402"/>
      <c r="X58" s="402"/>
      <c r="Y58" s="335">
        <f t="shared" si="1"/>
        <v>175727.79181250001</v>
      </c>
      <c r="Z58" s="335">
        <f t="shared" si="5"/>
        <v>2108733.5017500003</v>
      </c>
    </row>
    <row r="59" spans="1:39" s="108" customFormat="1" ht="36.75" customHeight="1">
      <c r="A59" s="322">
        <v>40</v>
      </c>
      <c r="B59" s="343" t="s">
        <v>495</v>
      </c>
      <c r="C59" s="343" t="s">
        <v>615</v>
      </c>
      <c r="D59" s="322" t="s">
        <v>497</v>
      </c>
      <c r="E59" s="322">
        <v>2</v>
      </c>
      <c r="F59" s="322">
        <v>3</v>
      </c>
      <c r="G59" s="322"/>
      <c r="H59" s="322">
        <v>2.84</v>
      </c>
      <c r="I59" s="334">
        <v>17697</v>
      </c>
      <c r="J59" s="322">
        <v>1.45</v>
      </c>
      <c r="K59" s="335">
        <f t="shared" si="2"/>
        <v>145752.49199999997</v>
      </c>
      <c r="L59" s="322"/>
      <c r="M59" s="335"/>
      <c r="N59" s="335">
        <f t="shared" si="4"/>
        <v>14575.249199999998</v>
      </c>
      <c r="O59" s="322"/>
      <c r="P59" s="322"/>
      <c r="Q59" s="322"/>
      <c r="R59" s="322"/>
      <c r="S59" s="322">
        <v>34754</v>
      </c>
      <c r="T59" s="322"/>
      <c r="U59" s="322"/>
      <c r="V59" s="322"/>
      <c r="W59" s="322"/>
      <c r="X59" s="322"/>
      <c r="Y59" s="335">
        <f t="shared" si="1"/>
        <v>195081.74119999996</v>
      </c>
      <c r="Z59" s="335">
        <f t="shared" si="5"/>
        <v>2340980.8943999996</v>
      </c>
    </row>
    <row r="60" spans="1:39" s="108" customFormat="1" ht="36.75" customHeight="1">
      <c r="A60" s="347"/>
      <c r="B60" s="407"/>
      <c r="C60" s="407"/>
      <c r="D60" s="347"/>
      <c r="E60" s="347"/>
      <c r="F60" s="347"/>
      <c r="G60" s="347"/>
      <c r="H60" s="347"/>
      <c r="I60" s="408"/>
      <c r="J60" s="347"/>
      <c r="K60" s="409"/>
      <c r="L60" s="347"/>
      <c r="M60" s="409"/>
      <c r="N60" s="409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409"/>
      <c r="Z60" s="409"/>
    </row>
    <row r="61" spans="1:39" ht="21" customHeight="1">
      <c r="B61" s="352" t="s">
        <v>641</v>
      </c>
      <c r="C61" s="353"/>
      <c r="D61" s="354"/>
      <c r="E61" s="243"/>
      <c r="F61" s="243"/>
      <c r="G61" s="182"/>
      <c r="H61" s="190"/>
      <c r="I61" s="275"/>
      <c r="J61" s="275"/>
    </row>
    <row r="62" spans="1:39" ht="7.5" customHeight="1">
      <c r="B62" s="273"/>
      <c r="C62" s="353"/>
      <c r="D62" s="354"/>
      <c r="E62" s="243"/>
      <c r="F62" s="243"/>
      <c r="G62" s="20"/>
      <c r="H62" s="42"/>
      <c r="I62" s="246"/>
      <c r="J62" s="246"/>
    </row>
    <row r="63" spans="1:39" s="306" customFormat="1" ht="21.75" customHeight="1">
      <c r="A63" s="303"/>
      <c r="B63" s="352" t="s">
        <v>639</v>
      </c>
      <c r="C63" s="353"/>
      <c r="D63" s="354"/>
      <c r="E63" s="243"/>
      <c r="F63" s="243"/>
      <c r="G63" s="20"/>
      <c r="H63" s="42"/>
      <c r="I63" s="246"/>
      <c r="J63" s="246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</row>
    <row r="64" spans="1:39" s="306" customFormat="1" ht="3.75" customHeight="1">
      <c r="A64" s="303"/>
      <c r="B64" s="245"/>
      <c r="C64" s="353"/>
      <c r="D64" s="354"/>
      <c r="E64" s="243"/>
      <c r="F64" s="243"/>
      <c r="G64" s="20"/>
      <c r="H64" s="42"/>
      <c r="I64" s="246"/>
      <c r="J64" s="246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</row>
    <row r="65" spans="1:39" s="306" customFormat="1" ht="20.25">
      <c r="A65" s="303"/>
      <c r="B65" s="352" t="s">
        <v>640</v>
      </c>
      <c r="C65" s="244"/>
      <c r="D65" s="288"/>
      <c r="E65" s="244"/>
      <c r="F65" s="2"/>
      <c r="G65" s="48"/>
      <c r="H65" s="41"/>
      <c r="I65" s="244"/>
      <c r="J65" s="244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</row>
  </sheetData>
  <mergeCells count="21">
    <mergeCell ref="A23:A24"/>
    <mergeCell ref="C23:C24"/>
    <mergeCell ref="D23:D24"/>
    <mergeCell ref="J14:J15"/>
    <mergeCell ref="K14:K15"/>
    <mergeCell ref="A12:Z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Y14:Y15"/>
    <mergeCell ref="Z14:Z15"/>
    <mergeCell ref="L14:L15"/>
    <mergeCell ref="M14:M15"/>
    <mergeCell ref="N14:S14"/>
    <mergeCell ref="T14:X14"/>
  </mergeCells>
  <printOptions horizontalCentered="1"/>
  <pageMargins left="0" right="0" top="0.31496062992125984" bottom="0.27559055118110237" header="0" footer="0"/>
  <pageSetup paperSize="9" scale="48" orientation="landscape" r:id="rId1"/>
  <rowBreaks count="2" manualBreakCount="2">
    <brk id="30" max="26" man="1"/>
    <brk id="51" max="26" man="1"/>
  </rowBreaks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O101"/>
  <sheetViews>
    <sheetView topLeftCell="M1" zoomScale="55" zoomScaleNormal="55" zoomScaleSheetLayoutView="55" workbookViewId="0">
      <pane ySplit="18" topLeftCell="A64" activePane="bottomLeft" state="frozen"/>
      <selection pane="bottomLeft" activeCell="AM18" sqref="AM18"/>
    </sheetView>
  </sheetViews>
  <sheetFormatPr defaultColWidth="16.42578125" defaultRowHeight="15"/>
  <cols>
    <col min="1" max="1" width="7.28515625" style="294" customWidth="1"/>
    <col min="2" max="2" width="40.85546875" style="295" customWidth="1"/>
    <col min="3" max="3" width="16.42578125" style="295" customWidth="1"/>
    <col min="4" max="4" width="10" style="294" customWidth="1"/>
    <col min="5" max="5" width="9.5703125" style="296" customWidth="1"/>
    <col min="6" max="6" width="9.140625" style="297" customWidth="1"/>
    <col min="7" max="7" width="8.42578125" style="298" customWidth="1"/>
    <col min="8" max="8" width="11.28515625" style="299" customWidth="1"/>
    <col min="9" max="9" width="8.5703125" style="300" customWidth="1"/>
    <col min="10" max="10" width="10.28515625" style="299" customWidth="1"/>
    <col min="11" max="11" width="10" style="294" customWidth="1"/>
    <col min="12" max="12" width="9.7109375" style="294" customWidth="1"/>
    <col min="13" max="13" width="14" style="299" customWidth="1"/>
    <col min="14" max="14" width="8.140625" style="294" customWidth="1"/>
    <col min="15" max="15" width="13.85546875" style="299" customWidth="1"/>
    <col min="16" max="16" width="9.140625" style="294" customWidth="1"/>
    <col min="17" max="17" width="13.7109375" style="299" customWidth="1"/>
    <col min="18" max="18" width="14.140625" style="294" customWidth="1"/>
    <col min="19" max="19" width="14.5703125" style="299" customWidth="1"/>
    <col min="20" max="20" width="14.42578125" style="301" customWidth="1"/>
    <col min="21" max="21" width="7" style="294" customWidth="1"/>
    <col min="22" max="22" width="11.140625" style="299" customWidth="1"/>
    <col min="23" max="23" width="7.28515625" style="302" customWidth="1"/>
    <col min="24" max="24" width="10.7109375" style="299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99" customWidth="1"/>
    <col min="29" max="29" width="13.28515625" style="299" customWidth="1"/>
    <col min="30" max="30" width="11" style="299" customWidth="1"/>
    <col min="31" max="31" width="14" style="294" customWidth="1"/>
    <col min="32" max="32" width="9.140625" style="294" customWidth="1"/>
    <col min="33" max="34" width="10.140625" style="294" customWidth="1"/>
    <col min="35" max="35" width="14.140625" style="294" customWidth="1"/>
    <col min="36" max="37" width="14" style="294" customWidth="1"/>
    <col min="38" max="38" width="8.85546875" style="294" customWidth="1"/>
    <col min="39" max="39" width="14.140625" style="299" customWidth="1"/>
    <col min="40" max="40" width="14" style="299" customWidth="1"/>
    <col min="41" max="16384" width="16.42578125" style="294"/>
  </cols>
  <sheetData>
    <row r="1" spans="1:41" s="245" customFormat="1" ht="18.75" customHeight="1">
      <c r="A1" s="432" t="s">
        <v>617</v>
      </c>
      <c r="B1" s="429"/>
      <c r="C1" s="429"/>
      <c r="D1" s="429"/>
      <c r="E1" s="429"/>
      <c r="F1" s="429"/>
      <c r="G1" s="429"/>
      <c r="H1" s="429"/>
      <c r="I1" s="429"/>
      <c r="J1" s="430"/>
      <c r="K1" s="431"/>
      <c r="L1" s="431"/>
      <c r="M1" s="431"/>
      <c r="N1" s="431"/>
      <c r="O1" s="432" t="s">
        <v>571</v>
      </c>
      <c r="P1" s="431"/>
      <c r="Q1" s="431"/>
      <c r="R1" s="431"/>
      <c r="S1" s="428"/>
      <c r="T1" s="428"/>
      <c r="U1" s="431"/>
      <c r="V1" s="431"/>
      <c r="W1" s="431"/>
      <c r="X1" s="431"/>
      <c r="Y1" s="6"/>
      <c r="Z1" s="6"/>
      <c r="AA1" s="6"/>
      <c r="AB1" s="237"/>
      <c r="AC1" s="237"/>
      <c r="AD1" s="237"/>
      <c r="AE1" s="237"/>
      <c r="AF1" s="237"/>
      <c r="AK1" s="240"/>
      <c r="AL1" s="240"/>
      <c r="AM1" s="242"/>
      <c r="AN1" s="242"/>
      <c r="AO1" s="243"/>
    </row>
    <row r="2" spans="1:41" s="245" customFormat="1" ht="18" customHeight="1">
      <c r="A2" s="428" t="s">
        <v>572</v>
      </c>
      <c r="B2" s="429"/>
      <c r="C2" s="429"/>
      <c r="D2" s="429"/>
      <c r="E2" s="429"/>
      <c r="F2" s="429"/>
      <c r="G2" s="429"/>
      <c r="H2" s="429"/>
      <c r="I2" s="429"/>
      <c r="J2" s="430"/>
      <c r="K2" s="431"/>
      <c r="L2" s="431"/>
      <c r="M2" s="431"/>
      <c r="N2" s="431"/>
      <c r="O2" s="428" t="s">
        <v>572</v>
      </c>
      <c r="P2" s="431"/>
      <c r="Q2" s="431"/>
      <c r="R2" s="431"/>
      <c r="S2" s="428"/>
      <c r="T2" s="428"/>
      <c r="U2" s="431"/>
      <c r="V2" s="431"/>
      <c r="W2" s="431"/>
      <c r="X2" s="431"/>
      <c r="Y2" s="6"/>
      <c r="Z2" s="6"/>
      <c r="AA2" s="6"/>
      <c r="AB2" s="237"/>
      <c r="AC2" s="237"/>
      <c r="AD2" s="237"/>
      <c r="AE2" s="237"/>
      <c r="AF2" s="237"/>
      <c r="AK2" s="240"/>
      <c r="AL2" s="240"/>
      <c r="AM2" s="242"/>
      <c r="AN2" s="242"/>
      <c r="AO2" s="243"/>
    </row>
    <row r="3" spans="1:41" s="245" customFormat="1" ht="18" customHeight="1">
      <c r="A3" s="432" t="s">
        <v>656</v>
      </c>
      <c r="B3" s="429"/>
      <c r="C3" s="429"/>
      <c r="D3" s="429"/>
      <c r="E3" s="429"/>
      <c r="F3" s="429"/>
      <c r="G3" s="429"/>
      <c r="H3" s="429"/>
      <c r="I3" s="429"/>
      <c r="J3" s="430"/>
      <c r="K3" s="431"/>
      <c r="L3" s="431"/>
      <c r="M3" s="431"/>
      <c r="N3" s="431"/>
      <c r="O3" s="432" t="s">
        <v>632</v>
      </c>
      <c r="P3" s="431"/>
      <c r="Q3" s="431"/>
      <c r="R3" s="431"/>
      <c r="S3" s="433"/>
      <c r="T3" s="433"/>
      <c r="U3" s="431"/>
      <c r="V3" s="431"/>
      <c r="W3" s="431"/>
      <c r="X3" s="431"/>
      <c r="Y3" s="6"/>
      <c r="Z3" s="6"/>
      <c r="AA3" s="6"/>
      <c r="AB3" s="237"/>
      <c r="AC3" s="237"/>
      <c r="AD3" s="237"/>
      <c r="AE3" s="237"/>
      <c r="AF3" s="237"/>
      <c r="AK3" s="237"/>
      <c r="AL3" s="237"/>
      <c r="AM3" s="250"/>
      <c r="AN3" s="250"/>
      <c r="AO3" s="251"/>
    </row>
    <row r="4" spans="1:41" s="245" customFormat="1" ht="19.5" customHeight="1">
      <c r="A4" s="432" t="s">
        <v>633</v>
      </c>
      <c r="B4" s="429"/>
      <c r="C4" s="429"/>
      <c r="D4" s="429"/>
      <c r="E4" s="429"/>
      <c r="F4" s="429"/>
      <c r="G4" s="429"/>
      <c r="H4" s="429"/>
      <c r="I4" s="429"/>
      <c r="J4" s="430"/>
      <c r="K4" s="431"/>
      <c r="L4" s="431"/>
      <c r="M4" s="431"/>
      <c r="N4" s="431"/>
      <c r="O4" s="432" t="s">
        <v>635</v>
      </c>
      <c r="P4" s="431"/>
      <c r="Q4" s="431"/>
      <c r="R4" s="431"/>
      <c r="S4" s="434"/>
      <c r="T4" s="434"/>
      <c r="U4" s="431"/>
      <c r="V4" s="431"/>
      <c r="W4" s="431"/>
      <c r="X4" s="431"/>
      <c r="Y4" s="6"/>
      <c r="Z4" s="6"/>
      <c r="AA4" s="6"/>
      <c r="AB4" s="237"/>
      <c r="AC4" s="237"/>
      <c r="AD4" s="237"/>
      <c r="AE4" s="237"/>
      <c r="AF4" s="237"/>
      <c r="AK4" s="237"/>
      <c r="AL4" s="237"/>
      <c r="AM4" s="253"/>
      <c r="AN4" s="254"/>
    </row>
    <row r="5" spans="1:41" s="245" customFormat="1" ht="14.25" customHeight="1">
      <c r="A5" s="429"/>
      <c r="B5" s="429"/>
      <c r="C5" s="429"/>
      <c r="D5" s="429"/>
      <c r="E5" s="429"/>
      <c r="F5" s="429"/>
      <c r="G5" s="429"/>
      <c r="H5" s="429"/>
      <c r="I5" s="429"/>
      <c r="J5" s="430"/>
      <c r="K5" s="431"/>
      <c r="L5" s="431"/>
      <c r="M5" s="431"/>
      <c r="N5" s="431"/>
      <c r="O5" s="432" t="s">
        <v>623</v>
      </c>
      <c r="P5" s="431"/>
      <c r="Q5" s="431"/>
      <c r="R5" s="431"/>
      <c r="S5" s="435"/>
      <c r="T5" s="434"/>
      <c r="U5" s="431"/>
      <c r="V5" s="431"/>
      <c r="W5" s="431"/>
      <c r="X5" s="431"/>
      <c r="Y5" s="6"/>
      <c r="Z5" s="6"/>
      <c r="AA5" s="6"/>
      <c r="AB5" s="237"/>
      <c r="AC5" s="237"/>
      <c r="AD5" s="237"/>
      <c r="AE5" s="237"/>
      <c r="AF5" s="237"/>
      <c r="AK5" s="237"/>
      <c r="AL5" s="237"/>
      <c r="AM5" s="256"/>
      <c r="AN5" s="254"/>
    </row>
    <row r="6" spans="1:41" s="245" customFormat="1" ht="11.25" customHeight="1">
      <c r="A6" s="429"/>
      <c r="B6" s="429"/>
      <c r="C6" s="429"/>
      <c r="D6" s="429"/>
      <c r="E6" s="429"/>
      <c r="F6" s="429"/>
      <c r="G6" s="429"/>
      <c r="H6" s="429"/>
      <c r="I6" s="429"/>
      <c r="J6" s="436"/>
      <c r="K6" s="435"/>
      <c r="L6" s="435"/>
      <c r="M6" s="435"/>
      <c r="N6" s="435"/>
      <c r="O6" s="435"/>
      <c r="P6" s="435"/>
      <c r="Q6" s="435"/>
      <c r="R6" s="435"/>
      <c r="S6" s="435"/>
      <c r="T6" s="434"/>
      <c r="U6" s="431"/>
      <c r="V6" s="431"/>
      <c r="W6" s="431"/>
      <c r="X6" s="431"/>
      <c r="Y6" s="6"/>
      <c r="Z6" s="6"/>
      <c r="AA6" s="6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57"/>
      <c r="AM6" s="256"/>
      <c r="AN6" s="254"/>
    </row>
    <row r="7" spans="1:41" s="245" customFormat="1" ht="7.5" customHeight="1">
      <c r="A7" s="429"/>
      <c r="B7" s="429"/>
      <c r="C7" s="429"/>
      <c r="D7" s="429"/>
      <c r="E7" s="429"/>
      <c r="F7" s="429"/>
      <c r="G7" s="429"/>
      <c r="H7" s="429"/>
      <c r="I7" s="429"/>
      <c r="J7" s="436"/>
      <c r="K7" s="435"/>
      <c r="L7" s="435"/>
      <c r="M7" s="435"/>
      <c r="N7" s="435"/>
      <c r="O7" s="435"/>
      <c r="P7" s="435"/>
      <c r="Q7" s="435"/>
      <c r="R7" s="435"/>
      <c r="S7" s="435"/>
      <c r="T7" s="437"/>
      <c r="U7" s="431"/>
      <c r="V7" s="431"/>
      <c r="W7" s="431"/>
      <c r="X7" s="431"/>
      <c r="Y7" s="6"/>
      <c r="Z7" s="6"/>
      <c r="AA7" s="6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57"/>
      <c r="AM7" s="256"/>
      <c r="AN7" s="254"/>
    </row>
    <row r="8" spans="1:41" s="245" customFormat="1" ht="18" customHeight="1">
      <c r="A8" s="597"/>
      <c r="B8" s="598"/>
      <c r="C8" s="599"/>
      <c r="D8" s="438" t="s">
        <v>471</v>
      </c>
      <c r="E8" s="439" t="s">
        <v>15</v>
      </c>
      <c r="F8" s="439" t="s">
        <v>16</v>
      </c>
      <c r="G8" s="603" t="s">
        <v>17</v>
      </c>
      <c r="H8" s="604"/>
      <c r="I8" s="429"/>
      <c r="J8" s="436"/>
      <c r="K8" s="435"/>
      <c r="L8" s="435"/>
      <c r="M8" s="435"/>
      <c r="N8" s="435"/>
      <c r="O8" s="435"/>
      <c r="P8" s="435"/>
      <c r="Q8" s="435"/>
      <c r="R8" s="435"/>
      <c r="S8" s="435"/>
      <c r="T8" s="437"/>
      <c r="U8" s="431"/>
      <c r="V8" s="431"/>
      <c r="W8" s="431"/>
      <c r="X8" s="431"/>
      <c r="Y8" s="6"/>
      <c r="Z8" s="6"/>
      <c r="AA8" s="6"/>
      <c r="AB8" s="237"/>
      <c r="AC8" s="237"/>
      <c r="AD8" s="237"/>
      <c r="AE8" s="237"/>
      <c r="AF8" s="258"/>
      <c r="AG8" s="259"/>
      <c r="AH8" s="237"/>
      <c r="AI8" s="237"/>
      <c r="AJ8" s="237"/>
      <c r="AK8" s="237"/>
      <c r="AL8" s="260"/>
      <c r="AM8" s="256"/>
      <c r="AN8" s="254"/>
    </row>
    <row r="9" spans="1:41" s="245" customFormat="1" ht="14.25" customHeight="1">
      <c r="A9" s="440" t="s">
        <v>18</v>
      </c>
      <c r="B9" s="441"/>
      <c r="C9" s="441"/>
      <c r="D9" s="439">
        <f>L18</f>
        <v>365</v>
      </c>
      <c r="E9" s="442">
        <f>N18</f>
        <v>713</v>
      </c>
      <c r="F9" s="442">
        <f>P18</f>
        <v>154</v>
      </c>
      <c r="G9" s="594">
        <f>E9+F9+D9</f>
        <v>1232</v>
      </c>
      <c r="H9" s="595"/>
      <c r="I9" s="443"/>
      <c r="J9" s="437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31"/>
      <c r="V9" s="431"/>
      <c r="W9" s="431"/>
      <c r="X9" s="431"/>
      <c r="Y9" s="6"/>
      <c r="Z9" s="6"/>
      <c r="AA9" s="6"/>
      <c r="AB9" s="237"/>
      <c r="AC9" s="237"/>
      <c r="AD9" s="237"/>
      <c r="AE9" s="237"/>
      <c r="AF9" s="261"/>
      <c r="AG9" s="261"/>
      <c r="AH9" s="261"/>
      <c r="AI9" s="261"/>
      <c r="AJ9" s="261"/>
      <c r="AK9" s="261"/>
      <c r="AL9" s="261"/>
      <c r="AM9" s="256"/>
      <c r="AN9" s="254"/>
    </row>
    <row r="10" spans="1:41" s="245" customFormat="1" ht="13.5" customHeight="1">
      <c r="A10" s="444" t="s">
        <v>664</v>
      </c>
      <c r="B10" s="441"/>
      <c r="C10" s="445"/>
      <c r="D10" s="439">
        <v>274</v>
      </c>
      <c r="E10" s="439">
        <v>322</v>
      </c>
      <c r="F10" s="439">
        <v>49</v>
      </c>
      <c r="G10" s="594">
        <f>E10+F10+D10</f>
        <v>645</v>
      </c>
      <c r="H10" s="595"/>
      <c r="I10" s="443"/>
      <c r="J10" s="437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31"/>
      <c r="V10" s="431"/>
      <c r="W10" s="431"/>
      <c r="X10" s="431"/>
      <c r="Y10" s="6"/>
      <c r="Z10" s="6"/>
      <c r="AA10" s="6"/>
      <c r="AB10" s="237"/>
      <c r="AC10" s="237"/>
      <c r="AD10" s="237"/>
      <c r="AE10" s="237"/>
      <c r="AF10" s="261"/>
      <c r="AG10" s="261"/>
      <c r="AH10" s="261"/>
      <c r="AI10" s="261"/>
      <c r="AJ10" s="261"/>
      <c r="AK10" s="261"/>
      <c r="AL10" s="261"/>
      <c r="AM10" s="256"/>
      <c r="AN10" s="254"/>
    </row>
    <row r="11" spans="1:41" s="245" customFormat="1" ht="13.5" customHeight="1">
      <c r="A11" s="600" t="s">
        <v>665</v>
      </c>
      <c r="B11" s="601"/>
      <c r="C11" s="602"/>
      <c r="D11" s="439">
        <v>14</v>
      </c>
      <c r="E11" s="439">
        <v>17</v>
      </c>
      <c r="F11" s="439">
        <v>4</v>
      </c>
      <c r="G11" s="594">
        <f>E11+F11+D11</f>
        <v>35</v>
      </c>
      <c r="H11" s="595"/>
      <c r="I11" s="443"/>
      <c r="J11" s="437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31"/>
      <c r="V11" s="431"/>
      <c r="W11" s="431"/>
      <c r="X11" s="431"/>
      <c r="Y11" s="6"/>
      <c r="Z11" s="6"/>
      <c r="AA11" s="6"/>
      <c r="AB11" s="237"/>
      <c r="AC11" s="237"/>
      <c r="AD11" s="237"/>
      <c r="AE11" s="237"/>
      <c r="AF11" s="261"/>
      <c r="AG11" s="261"/>
      <c r="AH11" s="261"/>
      <c r="AI11" s="261"/>
      <c r="AJ11" s="261"/>
      <c r="AK11" s="261"/>
      <c r="AL11" s="261"/>
      <c r="AM11" s="256"/>
      <c r="AN11" s="254"/>
    </row>
    <row r="12" spans="1:41" s="245" customFormat="1" ht="9.75" customHeight="1">
      <c r="A12" s="446"/>
      <c r="B12" s="430"/>
      <c r="C12" s="446"/>
      <c r="D12" s="447"/>
      <c r="E12" s="447"/>
      <c r="F12" s="447"/>
      <c r="G12" s="448"/>
      <c r="H12" s="449"/>
      <c r="I12" s="443"/>
      <c r="J12" s="437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31"/>
      <c r="V12" s="431"/>
      <c r="W12" s="431"/>
      <c r="X12" s="431"/>
      <c r="Y12" s="6"/>
      <c r="Z12" s="6"/>
      <c r="AA12" s="6"/>
      <c r="AB12" s="237"/>
      <c r="AC12" s="237"/>
      <c r="AD12" s="237"/>
      <c r="AE12" s="237"/>
      <c r="AF12" s="261"/>
      <c r="AG12" s="261"/>
      <c r="AH12" s="261"/>
      <c r="AI12" s="261"/>
      <c r="AJ12" s="261"/>
      <c r="AK12" s="261"/>
      <c r="AL12" s="261"/>
      <c r="AM12" s="256"/>
      <c r="AN12" s="254"/>
    </row>
    <row r="13" spans="1:41" s="245" customFormat="1" ht="32.25" customHeight="1">
      <c r="A13" s="596" t="s">
        <v>666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  <c r="L13" s="596"/>
      <c r="M13" s="596"/>
      <c r="N13" s="596"/>
      <c r="O13" s="596"/>
      <c r="P13" s="596"/>
      <c r="Q13" s="596"/>
      <c r="R13" s="596"/>
      <c r="S13" s="596"/>
      <c r="T13" s="596"/>
      <c r="U13" s="596"/>
      <c r="V13" s="596"/>
      <c r="W13" s="596"/>
      <c r="X13" s="596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</row>
    <row r="14" spans="1:41" s="245" customFormat="1" ht="14.25" customHeight="1">
      <c r="A14" s="265"/>
      <c r="B14" s="156"/>
      <c r="C14" s="156"/>
      <c r="D14" s="265"/>
      <c r="E14" s="265"/>
      <c r="F14" s="266"/>
      <c r="G14" s="267"/>
      <c r="H14" s="268"/>
      <c r="I14" s="265"/>
      <c r="J14" s="269"/>
      <c r="K14" s="270"/>
      <c r="L14" s="270"/>
      <c r="M14" s="269"/>
      <c r="N14" s="270"/>
      <c r="O14" s="271"/>
      <c r="P14" s="270"/>
      <c r="Q14" s="271"/>
      <c r="R14" s="270"/>
      <c r="S14" s="269"/>
      <c r="T14" s="270"/>
      <c r="U14" s="270"/>
      <c r="V14" s="269"/>
      <c r="W14" s="272"/>
      <c r="X14" s="269"/>
      <c r="Y14" s="314"/>
      <c r="Z14" s="315"/>
      <c r="AA14" s="316"/>
      <c r="AB14" s="269"/>
      <c r="AC14" s="269"/>
      <c r="AD14" s="269"/>
      <c r="AE14" s="270"/>
      <c r="AF14" s="590"/>
      <c r="AG14" s="590"/>
      <c r="AH14" s="590"/>
      <c r="AI14" s="590"/>
      <c r="AJ14" s="590"/>
      <c r="AK14" s="590"/>
      <c r="AL14" s="590"/>
      <c r="AM14" s="590"/>
      <c r="AN14" s="254"/>
    </row>
    <row r="15" spans="1:41" s="22" customFormat="1" ht="16.5" customHeight="1">
      <c r="A15" s="556" t="s">
        <v>22</v>
      </c>
      <c r="B15" s="556" t="s">
        <v>23</v>
      </c>
      <c r="C15" s="556" t="s">
        <v>24</v>
      </c>
      <c r="D15" s="591" t="s">
        <v>25</v>
      </c>
      <c r="E15" s="591" t="s">
        <v>35</v>
      </c>
      <c r="F15" s="592" t="s">
        <v>26</v>
      </c>
      <c r="G15" s="591" t="s">
        <v>27</v>
      </c>
      <c r="H15" s="555" t="s">
        <v>58</v>
      </c>
      <c r="I15" s="551" t="s">
        <v>57</v>
      </c>
      <c r="J15" s="555" t="s">
        <v>53</v>
      </c>
      <c r="K15" s="591" t="s">
        <v>28</v>
      </c>
      <c r="L15" s="578" t="s">
        <v>29</v>
      </c>
      <c r="M15" s="579"/>
      <c r="N15" s="579"/>
      <c r="O15" s="579"/>
      <c r="P15" s="579"/>
      <c r="Q15" s="580"/>
      <c r="R15" s="565" t="s">
        <v>60</v>
      </c>
      <c r="S15" s="568" t="s">
        <v>42</v>
      </c>
      <c r="T15" s="571">
        <v>0.1</v>
      </c>
      <c r="U15" s="572" t="s">
        <v>472</v>
      </c>
      <c r="V15" s="573"/>
      <c r="W15" s="573"/>
      <c r="X15" s="574"/>
      <c r="Y15" s="575" t="s">
        <v>474</v>
      </c>
      <c r="Z15" s="575"/>
      <c r="AA15" s="575"/>
      <c r="AB15" s="561"/>
      <c r="AC15" s="557" t="s">
        <v>475</v>
      </c>
      <c r="AD15" s="557" t="s">
        <v>477</v>
      </c>
      <c r="AE15" s="558" t="s">
        <v>65</v>
      </c>
      <c r="AF15" s="560" t="s">
        <v>621</v>
      </c>
      <c r="AG15" s="561"/>
      <c r="AH15" s="564" t="s">
        <v>476</v>
      </c>
      <c r="AI15" s="564" t="s">
        <v>44</v>
      </c>
      <c r="AJ15" s="564"/>
      <c r="AK15" s="564"/>
      <c r="AL15" s="564"/>
      <c r="AM15" s="555" t="s">
        <v>66</v>
      </c>
      <c r="AN15" s="555" t="s">
        <v>67</v>
      </c>
    </row>
    <row r="16" spans="1:41" s="22" customFormat="1" ht="84.75" customHeight="1">
      <c r="A16" s="556"/>
      <c r="B16" s="556"/>
      <c r="C16" s="556"/>
      <c r="D16" s="591"/>
      <c r="E16" s="591"/>
      <c r="F16" s="592"/>
      <c r="G16" s="591"/>
      <c r="H16" s="555"/>
      <c r="I16" s="593"/>
      <c r="J16" s="555"/>
      <c r="K16" s="591"/>
      <c r="L16" s="581"/>
      <c r="M16" s="582"/>
      <c r="N16" s="582"/>
      <c r="O16" s="582"/>
      <c r="P16" s="582"/>
      <c r="Q16" s="583"/>
      <c r="R16" s="566"/>
      <c r="S16" s="569"/>
      <c r="T16" s="571"/>
      <c r="U16" s="556" t="s">
        <v>469</v>
      </c>
      <c r="V16" s="556"/>
      <c r="W16" s="556" t="s">
        <v>473</v>
      </c>
      <c r="X16" s="556"/>
      <c r="Y16" s="576"/>
      <c r="Z16" s="576"/>
      <c r="AA16" s="576"/>
      <c r="AB16" s="577"/>
      <c r="AC16" s="557"/>
      <c r="AD16" s="557"/>
      <c r="AE16" s="558"/>
      <c r="AF16" s="562"/>
      <c r="AG16" s="563"/>
      <c r="AH16" s="564"/>
      <c r="AI16" s="557" t="s">
        <v>577</v>
      </c>
      <c r="AJ16" s="557" t="s">
        <v>46</v>
      </c>
      <c r="AK16" s="557" t="s">
        <v>49</v>
      </c>
      <c r="AL16" s="557" t="s">
        <v>47</v>
      </c>
      <c r="AM16" s="555"/>
      <c r="AN16" s="555"/>
    </row>
    <row r="17" spans="1:41" s="22" customFormat="1" ht="32.25" customHeight="1">
      <c r="A17" s="556"/>
      <c r="B17" s="556"/>
      <c r="C17" s="556"/>
      <c r="D17" s="591"/>
      <c r="E17" s="591"/>
      <c r="F17" s="592"/>
      <c r="G17" s="591"/>
      <c r="H17" s="555"/>
      <c r="I17" s="552"/>
      <c r="J17" s="555"/>
      <c r="K17" s="591"/>
      <c r="L17" s="426" t="s">
        <v>470</v>
      </c>
      <c r="M17" s="425" t="s">
        <v>478</v>
      </c>
      <c r="N17" s="426" t="s">
        <v>575</v>
      </c>
      <c r="O17" s="425" t="s">
        <v>478</v>
      </c>
      <c r="P17" s="426" t="s">
        <v>576</v>
      </c>
      <c r="Q17" s="425" t="s">
        <v>478</v>
      </c>
      <c r="R17" s="567"/>
      <c r="S17" s="570"/>
      <c r="T17" s="556"/>
      <c r="U17" s="427">
        <v>0.5</v>
      </c>
      <c r="V17" s="317" t="s">
        <v>478</v>
      </c>
      <c r="W17" s="427">
        <v>0.6</v>
      </c>
      <c r="X17" s="317" t="s">
        <v>478</v>
      </c>
      <c r="Y17" s="427">
        <v>0.4</v>
      </c>
      <c r="Z17" s="317" t="s">
        <v>478</v>
      </c>
      <c r="AA17" s="427">
        <v>0.5</v>
      </c>
      <c r="AB17" s="317" t="s">
        <v>478</v>
      </c>
      <c r="AC17" s="557"/>
      <c r="AD17" s="557"/>
      <c r="AE17" s="559"/>
      <c r="AF17" s="426" t="s">
        <v>479</v>
      </c>
      <c r="AG17" s="317" t="s">
        <v>478</v>
      </c>
      <c r="AH17" s="564"/>
      <c r="AI17" s="557"/>
      <c r="AJ17" s="557"/>
      <c r="AK17" s="557"/>
      <c r="AL17" s="557"/>
      <c r="AM17" s="555"/>
      <c r="AN17" s="555"/>
    </row>
    <row r="18" spans="1:41" s="273" customFormat="1" ht="17.25" customHeight="1">
      <c r="A18" s="350"/>
      <c r="B18" s="234"/>
      <c r="C18" s="234"/>
      <c r="D18" s="350"/>
      <c r="E18" s="234"/>
      <c r="F18" s="234"/>
      <c r="G18" s="350"/>
      <c r="H18" s="234"/>
      <c r="I18" s="234"/>
      <c r="J18" s="350"/>
      <c r="K18" s="451">
        <f t="shared" ref="K18:AN18" si="0">SUM(K19:K92)</f>
        <v>77</v>
      </c>
      <c r="L18" s="452">
        <f t="shared" si="0"/>
        <v>365</v>
      </c>
      <c r="M18" s="451">
        <f t="shared" si="0"/>
        <v>3951408.28125</v>
      </c>
      <c r="N18" s="452">
        <f t="shared" si="0"/>
        <v>713</v>
      </c>
      <c r="O18" s="451">
        <f t="shared" si="0"/>
        <v>7658620.0837499993</v>
      </c>
      <c r="P18" s="452">
        <f t="shared" si="0"/>
        <v>154</v>
      </c>
      <c r="Q18" s="451">
        <f t="shared" si="0"/>
        <v>1685130.4612499995</v>
      </c>
      <c r="R18" s="451">
        <f t="shared" si="0"/>
        <v>3323789.7065625</v>
      </c>
      <c r="S18" s="451">
        <f t="shared" si="0"/>
        <v>16618948.532812495</v>
      </c>
      <c r="T18" s="451">
        <f t="shared" si="0"/>
        <v>1661894.85328125</v>
      </c>
      <c r="U18" s="234">
        <f t="shared" si="0"/>
        <v>13.5</v>
      </c>
      <c r="V18" s="235">
        <f t="shared" si="0"/>
        <v>119454.75</v>
      </c>
      <c r="W18" s="234">
        <f t="shared" si="0"/>
        <v>18.5</v>
      </c>
      <c r="X18" s="235">
        <f t="shared" si="0"/>
        <v>196436.70000000007</v>
      </c>
      <c r="Y18" s="451">
        <f t="shared" si="0"/>
        <v>360.5</v>
      </c>
      <c r="Z18" s="235">
        <f t="shared" si="0"/>
        <v>159494.21250000002</v>
      </c>
      <c r="AA18" s="451">
        <f t="shared" si="0"/>
        <v>150.5</v>
      </c>
      <c r="AB18" s="235">
        <f t="shared" si="0"/>
        <v>83231.203125</v>
      </c>
      <c r="AC18" s="235">
        <f t="shared" si="0"/>
        <v>73840</v>
      </c>
      <c r="AD18" s="234">
        <f t="shared" si="0"/>
        <v>35394</v>
      </c>
      <c r="AE18" s="451">
        <f t="shared" si="0"/>
        <v>4985684.5598437516</v>
      </c>
      <c r="AF18" s="234">
        <f t="shared" si="0"/>
        <v>0</v>
      </c>
      <c r="AG18" s="235">
        <f t="shared" si="0"/>
        <v>0</v>
      </c>
      <c r="AH18" s="234">
        <f t="shared" si="0"/>
        <v>24773</v>
      </c>
      <c r="AI18" s="451">
        <f t="shared" si="0"/>
        <v>1353073.9078124997</v>
      </c>
      <c r="AJ18" s="451">
        <f t="shared" si="0"/>
        <v>2325412.0689843749</v>
      </c>
      <c r="AK18" s="451">
        <f t="shared" si="0"/>
        <v>1242108.1875</v>
      </c>
      <c r="AL18" s="234">
        <f t="shared" si="0"/>
        <v>0</v>
      </c>
      <c r="AM18" s="235">
        <f t="shared" si="0"/>
        <v>28879745.975859381</v>
      </c>
      <c r="AN18" s="235">
        <f t="shared" si="0"/>
        <v>346556951.71031255</v>
      </c>
      <c r="AO18" s="453"/>
    </row>
    <row r="19" spans="1:41" s="245" customFormat="1" ht="17.25" customHeight="1">
      <c r="A19" s="454">
        <v>1</v>
      </c>
      <c r="B19" s="455" t="s">
        <v>507</v>
      </c>
      <c r="C19" s="455" t="s">
        <v>573</v>
      </c>
      <c r="D19" s="456" t="s">
        <v>37</v>
      </c>
      <c r="E19" s="457" t="s">
        <v>177</v>
      </c>
      <c r="F19" s="457">
        <v>4.1100000000000003</v>
      </c>
      <c r="G19" s="458">
        <v>4.59</v>
      </c>
      <c r="H19" s="459">
        <f t="shared" ref="H19:H50" si="1">G19*I19*J19</f>
        <v>162458.46</v>
      </c>
      <c r="I19" s="460">
        <v>2</v>
      </c>
      <c r="J19" s="454">
        <v>17697</v>
      </c>
      <c r="K19" s="461">
        <f t="shared" ref="K19:K50" si="2">SUM(L19+N19+P19)/16</f>
        <v>0.375</v>
      </c>
      <c r="L19" s="462">
        <v>3</v>
      </c>
      <c r="M19" s="462">
        <f t="shared" ref="M19:M50" si="3">G19*I19*J19/16*L19</f>
        <v>30460.96125</v>
      </c>
      <c r="N19" s="462">
        <v>3</v>
      </c>
      <c r="O19" s="462">
        <f t="shared" ref="O19:O50" si="4">G19*I19*J19/16*N19</f>
        <v>30460.96125</v>
      </c>
      <c r="P19" s="462">
        <v>0</v>
      </c>
      <c r="Q19" s="459">
        <f t="shared" ref="Q19:Q50" si="5">G19*I19*J19/16*P19</f>
        <v>0</v>
      </c>
      <c r="R19" s="459">
        <f t="shared" ref="R19:R50" si="6">(M19+O19+Q19)*25%</f>
        <v>15230.480625</v>
      </c>
      <c r="S19" s="459">
        <f t="shared" ref="S19:S50" si="7">M19+O19+Q19+R19</f>
        <v>76152.403124999997</v>
      </c>
      <c r="T19" s="459">
        <f t="shared" ref="T19:T50" si="8">S19*0.1</f>
        <v>7615.2403125000001</v>
      </c>
      <c r="U19" s="460"/>
      <c r="V19" s="463">
        <f t="shared" ref="V19:V31" si="9">17697*50%*U19</f>
        <v>0</v>
      </c>
      <c r="W19" s="460"/>
      <c r="X19" s="464">
        <f t="shared" ref="X19:X31" si="10">17697*60%*W19</f>
        <v>0</v>
      </c>
      <c r="Y19" s="454"/>
      <c r="Z19" s="459">
        <f t="shared" ref="Z19:Z31" si="11">17697*40%/16*Y19</f>
        <v>0</v>
      </c>
      <c r="AA19" s="460"/>
      <c r="AB19" s="459">
        <f t="shared" ref="AB19:AB56" si="12">17697*50%/16*AA19</f>
        <v>0</v>
      </c>
      <c r="AC19" s="465"/>
      <c r="AD19" s="460"/>
      <c r="AE19" s="459">
        <f t="shared" ref="AE19:AE50" si="13">S19*0.3</f>
        <v>22845.720937499998</v>
      </c>
      <c r="AF19" s="460"/>
      <c r="AG19" s="464">
        <f t="shared" ref="AG19:AG56" si="14">17697*40%/16*AF19</f>
        <v>0</v>
      </c>
      <c r="AH19" s="454"/>
      <c r="AI19" s="459">
        <f>S19*30%</f>
        <v>22845.720937499998</v>
      </c>
      <c r="AJ19" s="459"/>
      <c r="AK19" s="459"/>
      <c r="AL19" s="460"/>
      <c r="AM19" s="459">
        <f t="shared" ref="AM19:AM50" si="15">S19+T19+V19+X19+Z19+AB19+AC19+AD19+AE19+AG19+AH19+AI19+AJ19+AK19+AL19</f>
        <v>129459.08531249998</v>
      </c>
      <c r="AN19" s="459">
        <f t="shared" ref="AN19:AN50" si="16">AM19*12</f>
        <v>1553509.0237499997</v>
      </c>
      <c r="AO19" s="466"/>
    </row>
    <row r="20" spans="1:41" s="245" customFormat="1" ht="17.25" customHeight="1">
      <c r="A20" s="454">
        <v>2</v>
      </c>
      <c r="B20" s="455" t="s">
        <v>511</v>
      </c>
      <c r="C20" s="455" t="s">
        <v>574</v>
      </c>
      <c r="D20" s="456" t="s">
        <v>37</v>
      </c>
      <c r="E20" s="457" t="s">
        <v>178</v>
      </c>
      <c r="F20" s="457">
        <v>20.11</v>
      </c>
      <c r="G20" s="458">
        <v>5.12</v>
      </c>
      <c r="H20" s="459">
        <f t="shared" si="1"/>
        <v>181217.28</v>
      </c>
      <c r="I20" s="460">
        <v>2</v>
      </c>
      <c r="J20" s="454">
        <v>17697</v>
      </c>
      <c r="K20" s="461">
        <f t="shared" si="2"/>
        <v>1.3125</v>
      </c>
      <c r="L20" s="462">
        <v>3</v>
      </c>
      <c r="M20" s="462">
        <f t="shared" si="3"/>
        <v>33978.239999999998</v>
      </c>
      <c r="N20" s="462">
        <v>18</v>
      </c>
      <c r="O20" s="462">
        <f t="shared" si="4"/>
        <v>203869.44</v>
      </c>
      <c r="P20" s="462">
        <v>0</v>
      </c>
      <c r="Q20" s="459">
        <f t="shared" si="5"/>
        <v>0</v>
      </c>
      <c r="R20" s="459">
        <f t="shared" si="6"/>
        <v>59461.919999999998</v>
      </c>
      <c r="S20" s="459">
        <f t="shared" si="7"/>
        <v>297309.59999999998</v>
      </c>
      <c r="T20" s="459">
        <f t="shared" si="8"/>
        <v>29730.959999999999</v>
      </c>
      <c r="U20" s="460"/>
      <c r="V20" s="463">
        <f t="shared" si="9"/>
        <v>0</v>
      </c>
      <c r="W20" s="460">
        <v>1</v>
      </c>
      <c r="X20" s="464">
        <f t="shared" si="10"/>
        <v>10618.199999999999</v>
      </c>
      <c r="Y20" s="454"/>
      <c r="Z20" s="459">
        <f t="shared" si="11"/>
        <v>0</v>
      </c>
      <c r="AA20" s="460">
        <v>16.5</v>
      </c>
      <c r="AB20" s="459">
        <f t="shared" si="12"/>
        <v>9125.015625</v>
      </c>
      <c r="AC20" s="465"/>
      <c r="AD20" s="460"/>
      <c r="AE20" s="459">
        <f t="shared" si="13"/>
        <v>89192.87999999999</v>
      </c>
      <c r="AF20" s="460"/>
      <c r="AG20" s="464">
        <f t="shared" si="14"/>
        <v>0</v>
      </c>
      <c r="AH20" s="454"/>
      <c r="AI20" s="459"/>
      <c r="AJ20" s="459">
        <f>S20*35%</f>
        <v>104058.35999999999</v>
      </c>
      <c r="AK20" s="459"/>
      <c r="AL20" s="460"/>
      <c r="AM20" s="459">
        <f t="shared" si="15"/>
        <v>540035.015625</v>
      </c>
      <c r="AN20" s="459">
        <f t="shared" si="16"/>
        <v>6480420.1875</v>
      </c>
      <c r="AO20" s="466"/>
    </row>
    <row r="21" spans="1:41" s="245" customFormat="1" ht="17.25" customHeight="1">
      <c r="A21" s="454">
        <v>3</v>
      </c>
      <c r="B21" s="455" t="s">
        <v>512</v>
      </c>
      <c r="C21" s="455" t="s">
        <v>573</v>
      </c>
      <c r="D21" s="456" t="s">
        <v>37</v>
      </c>
      <c r="E21" s="457" t="s">
        <v>178</v>
      </c>
      <c r="F21" s="457">
        <v>17.899999999999999</v>
      </c>
      <c r="G21" s="458">
        <v>5.03</v>
      </c>
      <c r="H21" s="459">
        <f t="shared" si="1"/>
        <v>178031.82</v>
      </c>
      <c r="I21" s="460">
        <v>2</v>
      </c>
      <c r="J21" s="454">
        <v>17697</v>
      </c>
      <c r="K21" s="461">
        <f t="shared" si="2"/>
        <v>1</v>
      </c>
      <c r="L21" s="462">
        <v>0</v>
      </c>
      <c r="M21" s="462">
        <f t="shared" si="3"/>
        <v>0</v>
      </c>
      <c r="N21" s="462">
        <v>6</v>
      </c>
      <c r="O21" s="462">
        <f t="shared" si="4"/>
        <v>66761.932499999995</v>
      </c>
      <c r="P21" s="462">
        <v>10</v>
      </c>
      <c r="Q21" s="459">
        <f t="shared" si="5"/>
        <v>111269.88750000001</v>
      </c>
      <c r="R21" s="459">
        <f t="shared" si="6"/>
        <v>44507.955000000002</v>
      </c>
      <c r="S21" s="459">
        <f t="shared" si="7"/>
        <v>222539.77500000002</v>
      </c>
      <c r="T21" s="459">
        <f t="shared" si="8"/>
        <v>22253.977500000005</v>
      </c>
      <c r="U21" s="460"/>
      <c r="V21" s="463">
        <f t="shared" si="9"/>
        <v>0</v>
      </c>
      <c r="W21" s="460"/>
      <c r="X21" s="464">
        <f t="shared" si="10"/>
        <v>0</v>
      </c>
      <c r="Y21" s="454"/>
      <c r="Z21" s="459">
        <f t="shared" si="11"/>
        <v>0</v>
      </c>
      <c r="AA21" s="460"/>
      <c r="AB21" s="459">
        <f t="shared" si="12"/>
        <v>0</v>
      </c>
      <c r="AC21" s="465"/>
      <c r="AD21" s="460"/>
      <c r="AE21" s="459">
        <f t="shared" si="13"/>
        <v>66761.93250000001</v>
      </c>
      <c r="AF21" s="460"/>
      <c r="AG21" s="464">
        <f t="shared" si="14"/>
        <v>0</v>
      </c>
      <c r="AH21" s="454"/>
      <c r="AI21" s="459"/>
      <c r="AJ21" s="459">
        <f>S21*35%</f>
        <v>77888.921249999999</v>
      </c>
      <c r="AK21" s="459"/>
      <c r="AL21" s="460"/>
      <c r="AM21" s="459">
        <f t="shared" si="15"/>
        <v>389444.60625000007</v>
      </c>
      <c r="AN21" s="459">
        <f t="shared" si="16"/>
        <v>4673335.2750000004</v>
      </c>
      <c r="AO21" s="466"/>
    </row>
    <row r="22" spans="1:41" s="245" customFormat="1" ht="17.25" customHeight="1">
      <c r="A22" s="454">
        <v>4</v>
      </c>
      <c r="B22" s="455" t="s">
        <v>500</v>
      </c>
      <c r="C22" s="455" t="s">
        <v>530</v>
      </c>
      <c r="D22" s="456" t="s">
        <v>37</v>
      </c>
      <c r="E22" s="457" t="s">
        <v>174</v>
      </c>
      <c r="F22" s="457">
        <v>15</v>
      </c>
      <c r="G22" s="458">
        <v>5.16</v>
      </c>
      <c r="H22" s="459">
        <f t="shared" si="1"/>
        <v>182633.04</v>
      </c>
      <c r="I22" s="460">
        <v>2</v>
      </c>
      <c r="J22" s="454">
        <v>17697</v>
      </c>
      <c r="K22" s="461">
        <f t="shared" si="2"/>
        <v>0.5</v>
      </c>
      <c r="L22" s="462">
        <v>6</v>
      </c>
      <c r="M22" s="462">
        <f t="shared" si="3"/>
        <v>68487.39</v>
      </c>
      <c r="N22" s="462">
        <v>0</v>
      </c>
      <c r="O22" s="462">
        <f t="shared" si="4"/>
        <v>0</v>
      </c>
      <c r="P22" s="462">
        <v>2</v>
      </c>
      <c r="Q22" s="459">
        <f t="shared" si="5"/>
        <v>22829.13</v>
      </c>
      <c r="R22" s="459">
        <f t="shared" si="6"/>
        <v>22829.13</v>
      </c>
      <c r="S22" s="459">
        <f t="shared" si="7"/>
        <v>114145.65000000001</v>
      </c>
      <c r="T22" s="459">
        <f t="shared" si="8"/>
        <v>11414.565000000002</v>
      </c>
      <c r="U22" s="460"/>
      <c r="V22" s="463">
        <f t="shared" si="9"/>
        <v>0</v>
      </c>
      <c r="W22" s="460"/>
      <c r="X22" s="464">
        <f t="shared" si="10"/>
        <v>0</v>
      </c>
      <c r="Y22" s="454"/>
      <c r="Z22" s="459">
        <f t="shared" si="11"/>
        <v>0</v>
      </c>
      <c r="AA22" s="460"/>
      <c r="AB22" s="459">
        <f t="shared" si="12"/>
        <v>0</v>
      </c>
      <c r="AC22" s="465"/>
      <c r="AD22" s="460"/>
      <c r="AE22" s="459">
        <f t="shared" si="13"/>
        <v>34243.695</v>
      </c>
      <c r="AF22" s="460"/>
      <c r="AG22" s="464">
        <f t="shared" si="14"/>
        <v>0</v>
      </c>
      <c r="AH22" s="454"/>
      <c r="AI22" s="459"/>
      <c r="AJ22" s="459"/>
      <c r="AK22" s="459">
        <f>S22*40%</f>
        <v>45658.260000000009</v>
      </c>
      <c r="AL22" s="460"/>
      <c r="AM22" s="459">
        <f t="shared" si="15"/>
        <v>205462.17</v>
      </c>
      <c r="AN22" s="459">
        <f t="shared" si="16"/>
        <v>2465546.04</v>
      </c>
      <c r="AO22" s="466"/>
    </row>
    <row r="23" spans="1:41" s="245" customFormat="1" ht="17.25" customHeight="1">
      <c r="A23" s="454">
        <v>5</v>
      </c>
      <c r="B23" s="455" t="s">
        <v>513</v>
      </c>
      <c r="C23" s="455" t="s">
        <v>480</v>
      </c>
      <c r="D23" s="456" t="s">
        <v>37</v>
      </c>
      <c r="E23" s="457" t="s">
        <v>178</v>
      </c>
      <c r="F23" s="458">
        <v>14.1</v>
      </c>
      <c r="G23" s="458">
        <v>4.95</v>
      </c>
      <c r="H23" s="459">
        <f t="shared" si="1"/>
        <v>175200.30000000002</v>
      </c>
      <c r="I23" s="460">
        <v>2</v>
      </c>
      <c r="J23" s="454">
        <v>17697</v>
      </c>
      <c r="K23" s="461">
        <f t="shared" si="2"/>
        <v>1.0625</v>
      </c>
      <c r="L23" s="462">
        <v>2</v>
      </c>
      <c r="M23" s="462">
        <f t="shared" si="3"/>
        <v>21900.037500000002</v>
      </c>
      <c r="N23" s="462">
        <v>12</v>
      </c>
      <c r="O23" s="462">
        <f t="shared" si="4"/>
        <v>131400.22500000001</v>
      </c>
      <c r="P23" s="462">
        <v>3</v>
      </c>
      <c r="Q23" s="459">
        <f t="shared" si="5"/>
        <v>32850.056250000001</v>
      </c>
      <c r="R23" s="459">
        <f t="shared" si="6"/>
        <v>46537.579687500001</v>
      </c>
      <c r="S23" s="459">
        <f t="shared" si="7"/>
        <v>232687.8984375</v>
      </c>
      <c r="T23" s="459">
        <f t="shared" si="8"/>
        <v>23268.789843750001</v>
      </c>
      <c r="U23" s="460"/>
      <c r="V23" s="463">
        <f t="shared" si="9"/>
        <v>0</v>
      </c>
      <c r="W23" s="460">
        <v>0.5</v>
      </c>
      <c r="X23" s="464">
        <f t="shared" si="10"/>
        <v>5309.0999999999995</v>
      </c>
      <c r="Y23" s="454">
        <v>10</v>
      </c>
      <c r="Z23" s="459">
        <f t="shared" si="11"/>
        <v>4424.25</v>
      </c>
      <c r="AA23" s="460"/>
      <c r="AB23" s="459">
        <f t="shared" si="12"/>
        <v>0</v>
      </c>
      <c r="AC23" s="465"/>
      <c r="AD23" s="460"/>
      <c r="AE23" s="459">
        <f t="shared" si="13"/>
        <v>69806.369531249991</v>
      </c>
      <c r="AF23" s="460"/>
      <c r="AG23" s="464">
        <f t="shared" si="14"/>
        <v>0</v>
      </c>
      <c r="AH23" s="454"/>
      <c r="AI23" s="459"/>
      <c r="AJ23" s="459">
        <f>S23*35%</f>
        <v>81440.764453124997</v>
      </c>
      <c r="AK23" s="459"/>
      <c r="AL23" s="460"/>
      <c r="AM23" s="459">
        <f t="shared" si="15"/>
        <v>416937.17226562503</v>
      </c>
      <c r="AN23" s="459">
        <f t="shared" si="16"/>
        <v>5003246.0671875002</v>
      </c>
      <c r="AO23" s="466"/>
    </row>
    <row r="24" spans="1:41" s="245" customFormat="1" ht="17.25" customHeight="1">
      <c r="A24" s="454">
        <v>6</v>
      </c>
      <c r="B24" s="455" t="s">
        <v>514</v>
      </c>
      <c r="C24" s="455" t="s">
        <v>573</v>
      </c>
      <c r="D24" s="456" t="s">
        <v>37</v>
      </c>
      <c r="E24" s="457" t="s">
        <v>174</v>
      </c>
      <c r="F24" s="457">
        <v>23</v>
      </c>
      <c r="G24" s="458">
        <v>5.32</v>
      </c>
      <c r="H24" s="459">
        <f t="shared" si="1"/>
        <v>188296.08000000002</v>
      </c>
      <c r="I24" s="460">
        <v>2</v>
      </c>
      <c r="J24" s="454">
        <v>17697</v>
      </c>
      <c r="K24" s="461">
        <f t="shared" si="2"/>
        <v>1</v>
      </c>
      <c r="L24" s="462">
        <v>6</v>
      </c>
      <c r="M24" s="462">
        <f t="shared" si="3"/>
        <v>70611.03</v>
      </c>
      <c r="N24" s="462">
        <v>9</v>
      </c>
      <c r="O24" s="462">
        <f t="shared" si="4"/>
        <v>105916.54500000001</v>
      </c>
      <c r="P24" s="462">
        <v>1</v>
      </c>
      <c r="Q24" s="459">
        <f t="shared" si="5"/>
        <v>11768.505000000001</v>
      </c>
      <c r="R24" s="459">
        <f t="shared" si="6"/>
        <v>47074.020000000004</v>
      </c>
      <c r="S24" s="459">
        <f t="shared" si="7"/>
        <v>235370.10000000003</v>
      </c>
      <c r="T24" s="459">
        <f t="shared" si="8"/>
        <v>23537.010000000006</v>
      </c>
      <c r="U24" s="460"/>
      <c r="V24" s="463">
        <f t="shared" si="9"/>
        <v>0</v>
      </c>
      <c r="W24" s="460"/>
      <c r="X24" s="464">
        <f t="shared" si="10"/>
        <v>0</v>
      </c>
      <c r="Y24" s="454"/>
      <c r="Z24" s="459">
        <f t="shared" si="11"/>
        <v>0</v>
      </c>
      <c r="AA24" s="460"/>
      <c r="AB24" s="459">
        <f t="shared" si="12"/>
        <v>0</v>
      </c>
      <c r="AC24" s="465"/>
      <c r="AD24" s="460"/>
      <c r="AE24" s="459">
        <f t="shared" si="13"/>
        <v>70611.030000000013</v>
      </c>
      <c r="AF24" s="460"/>
      <c r="AG24" s="464">
        <f t="shared" si="14"/>
        <v>0</v>
      </c>
      <c r="AH24" s="454"/>
      <c r="AI24" s="459"/>
      <c r="AJ24" s="459"/>
      <c r="AK24" s="459">
        <f>S24*40%</f>
        <v>94148.040000000023</v>
      </c>
      <c r="AL24" s="460"/>
      <c r="AM24" s="459">
        <f t="shared" si="15"/>
        <v>423666.18000000011</v>
      </c>
      <c r="AN24" s="459">
        <f t="shared" si="16"/>
        <v>5083994.1600000011</v>
      </c>
      <c r="AO24" s="466"/>
    </row>
    <row r="25" spans="1:41" s="245" customFormat="1" ht="17.25" customHeight="1">
      <c r="A25" s="454">
        <v>7</v>
      </c>
      <c r="B25" s="455" t="s">
        <v>515</v>
      </c>
      <c r="C25" s="455" t="s">
        <v>484</v>
      </c>
      <c r="D25" s="456" t="s">
        <v>37</v>
      </c>
      <c r="E25" s="457" t="s">
        <v>174</v>
      </c>
      <c r="F25" s="457">
        <v>33.5</v>
      </c>
      <c r="G25" s="458">
        <v>5.41</v>
      </c>
      <c r="H25" s="459">
        <f t="shared" si="1"/>
        <v>191481.54</v>
      </c>
      <c r="I25" s="460">
        <v>2</v>
      </c>
      <c r="J25" s="454">
        <v>17697</v>
      </c>
      <c r="K25" s="461">
        <f t="shared" si="2"/>
        <v>1.4375</v>
      </c>
      <c r="L25" s="462">
        <v>2</v>
      </c>
      <c r="M25" s="462">
        <f t="shared" si="3"/>
        <v>23935.192500000001</v>
      </c>
      <c r="N25" s="462">
        <v>19</v>
      </c>
      <c r="O25" s="462">
        <f t="shared" si="4"/>
        <v>227384.32875000002</v>
      </c>
      <c r="P25" s="462">
        <v>2</v>
      </c>
      <c r="Q25" s="459">
        <f t="shared" si="5"/>
        <v>23935.192500000001</v>
      </c>
      <c r="R25" s="459">
        <f t="shared" si="6"/>
        <v>68813.678437499999</v>
      </c>
      <c r="S25" s="459">
        <f t="shared" si="7"/>
        <v>344068.39218750002</v>
      </c>
      <c r="T25" s="459">
        <f t="shared" si="8"/>
        <v>34406.839218750007</v>
      </c>
      <c r="U25" s="460"/>
      <c r="V25" s="463">
        <f t="shared" si="9"/>
        <v>0</v>
      </c>
      <c r="W25" s="460"/>
      <c r="X25" s="464">
        <f t="shared" si="10"/>
        <v>0</v>
      </c>
      <c r="Y25" s="454"/>
      <c r="Z25" s="459">
        <f t="shared" si="11"/>
        <v>0</v>
      </c>
      <c r="AA25" s="460">
        <v>10.5</v>
      </c>
      <c r="AB25" s="459">
        <f t="shared" si="12"/>
        <v>5806.828125</v>
      </c>
      <c r="AC25" s="465"/>
      <c r="AD25" s="460"/>
      <c r="AE25" s="459">
        <f t="shared" si="13"/>
        <v>103220.51765625</v>
      </c>
      <c r="AF25" s="460"/>
      <c r="AG25" s="464">
        <f t="shared" si="14"/>
        <v>0</v>
      </c>
      <c r="AH25" s="454"/>
      <c r="AI25" s="459"/>
      <c r="AJ25" s="459"/>
      <c r="AK25" s="459">
        <f>S25*40%</f>
        <v>137627.35687500003</v>
      </c>
      <c r="AL25" s="460"/>
      <c r="AM25" s="459">
        <f t="shared" si="15"/>
        <v>625129.93406250002</v>
      </c>
      <c r="AN25" s="459">
        <f t="shared" si="16"/>
        <v>7501559.2087500002</v>
      </c>
      <c r="AO25" s="466"/>
    </row>
    <row r="26" spans="1:41" s="245" customFormat="1" ht="17.25" customHeight="1">
      <c r="A26" s="454">
        <v>8</v>
      </c>
      <c r="B26" s="455" t="s">
        <v>628</v>
      </c>
      <c r="C26" s="455" t="s">
        <v>489</v>
      </c>
      <c r="D26" s="456" t="s">
        <v>37</v>
      </c>
      <c r="E26" s="457" t="s">
        <v>175</v>
      </c>
      <c r="F26" s="457">
        <v>13.11</v>
      </c>
      <c r="G26" s="458">
        <v>4.49</v>
      </c>
      <c r="H26" s="459">
        <f t="shared" si="1"/>
        <v>158919.06</v>
      </c>
      <c r="I26" s="460">
        <v>2</v>
      </c>
      <c r="J26" s="454">
        <v>17697</v>
      </c>
      <c r="K26" s="461">
        <f t="shared" si="2"/>
        <v>0.4375</v>
      </c>
      <c r="L26" s="462"/>
      <c r="M26" s="462">
        <f t="shared" si="3"/>
        <v>0</v>
      </c>
      <c r="N26" s="462">
        <v>0</v>
      </c>
      <c r="O26" s="462">
        <f t="shared" si="4"/>
        <v>0</v>
      </c>
      <c r="P26" s="462">
        <v>7</v>
      </c>
      <c r="Q26" s="459">
        <f t="shared" si="5"/>
        <v>69527.088749999995</v>
      </c>
      <c r="R26" s="459">
        <f t="shared" si="6"/>
        <v>17381.772187499999</v>
      </c>
      <c r="S26" s="459">
        <f t="shared" si="7"/>
        <v>86908.860937499994</v>
      </c>
      <c r="T26" s="459">
        <f t="shared" si="8"/>
        <v>8690.8860937499994</v>
      </c>
      <c r="U26" s="460"/>
      <c r="V26" s="463">
        <f t="shared" si="9"/>
        <v>0</v>
      </c>
      <c r="W26" s="460"/>
      <c r="X26" s="464">
        <f t="shared" si="10"/>
        <v>0</v>
      </c>
      <c r="Y26" s="454"/>
      <c r="Z26" s="459">
        <f t="shared" si="11"/>
        <v>0</v>
      </c>
      <c r="AA26" s="460"/>
      <c r="AB26" s="459">
        <f t="shared" si="12"/>
        <v>0</v>
      </c>
      <c r="AC26" s="465"/>
      <c r="AD26" s="460"/>
      <c r="AE26" s="459">
        <f t="shared" si="13"/>
        <v>26072.658281249998</v>
      </c>
      <c r="AF26" s="460"/>
      <c r="AG26" s="464">
        <f t="shared" si="14"/>
        <v>0</v>
      </c>
      <c r="AH26" s="454"/>
      <c r="AI26" s="459"/>
      <c r="AJ26" s="459"/>
      <c r="AK26" s="459"/>
      <c r="AL26" s="460"/>
      <c r="AM26" s="459">
        <f t="shared" si="15"/>
        <v>121672.40531249999</v>
      </c>
      <c r="AN26" s="459">
        <f t="shared" si="16"/>
        <v>1460068.86375</v>
      </c>
      <c r="AO26" s="466"/>
    </row>
    <row r="27" spans="1:41" s="245" customFormat="1" ht="17.25" customHeight="1">
      <c r="A27" s="454">
        <v>9</v>
      </c>
      <c r="B27" s="467" t="s">
        <v>659</v>
      </c>
      <c r="C27" s="455" t="s">
        <v>487</v>
      </c>
      <c r="D27" s="457" t="s">
        <v>37</v>
      </c>
      <c r="E27" s="457" t="s">
        <v>180</v>
      </c>
      <c r="F27" s="457">
        <v>10</v>
      </c>
      <c r="G27" s="458">
        <v>4.38</v>
      </c>
      <c r="H27" s="459">
        <f t="shared" si="1"/>
        <v>155025.72</v>
      </c>
      <c r="I27" s="460">
        <v>2</v>
      </c>
      <c r="J27" s="454">
        <v>17697</v>
      </c>
      <c r="K27" s="461">
        <f t="shared" si="2"/>
        <v>0.625</v>
      </c>
      <c r="L27" s="462">
        <v>0</v>
      </c>
      <c r="M27" s="462">
        <f t="shared" si="3"/>
        <v>0</v>
      </c>
      <c r="N27" s="462">
        <v>4</v>
      </c>
      <c r="O27" s="462">
        <f t="shared" si="4"/>
        <v>38756.43</v>
      </c>
      <c r="P27" s="462">
        <v>6</v>
      </c>
      <c r="Q27" s="459">
        <f t="shared" si="5"/>
        <v>58134.645000000004</v>
      </c>
      <c r="R27" s="459">
        <f t="shared" si="6"/>
        <v>24222.768750000003</v>
      </c>
      <c r="S27" s="459">
        <f t="shared" si="7"/>
        <v>121113.84375000001</v>
      </c>
      <c r="T27" s="459">
        <f t="shared" si="8"/>
        <v>12111.384375000001</v>
      </c>
      <c r="U27" s="460"/>
      <c r="V27" s="463">
        <f t="shared" si="9"/>
        <v>0</v>
      </c>
      <c r="W27" s="460"/>
      <c r="X27" s="464">
        <f t="shared" si="10"/>
        <v>0</v>
      </c>
      <c r="Y27" s="454">
        <v>6</v>
      </c>
      <c r="Z27" s="459">
        <f t="shared" si="11"/>
        <v>2654.55</v>
      </c>
      <c r="AA27" s="460">
        <v>0</v>
      </c>
      <c r="AB27" s="459">
        <f t="shared" si="12"/>
        <v>0</v>
      </c>
      <c r="AC27" s="468"/>
      <c r="AD27" s="460"/>
      <c r="AE27" s="459">
        <f t="shared" si="13"/>
        <v>36334.153125000004</v>
      </c>
      <c r="AF27" s="460"/>
      <c r="AG27" s="464">
        <f t="shared" si="14"/>
        <v>0</v>
      </c>
      <c r="AH27" s="454"/>
      <c r="AI27" s="459"/>
      <c r="AJ27" s="459"/>
      <c r="AK27" s="459"/>
      <c r="AL27" s="460"/>
      <c r="AM27" s="459">
        <f t="shared" si="15"/>
        <v>172213.93125000002</v>
      </c>
      <c r="AN27" s="459">
        <f t="shared" si="16"/>
        <v>2066567.1750000003</v>
      </c>
      <c r="AO27" s="466"/>
    </row>
    <row r="28" spans="1:41" s="245" customFormat="1" ht="17.25" customHeight="1">
      <c r="A28" s="454">
        <v>10</v>
      </c>
      <c r="B28" s="455" t="s">
        <v>517</v>
      </c>
      <c r="C28" s="455" t="s">
        <v>481</v>
      </c>
      <c r="D28" s="456" t="s">
        <v>37</v>
      </c>
      <c r="E28" s="457" t="s">
        <v>178</v>
      </c>
      <c r="F28" s="457">
        <v>20</v>
      </c>
      <c r="G28" s="458">
        <v>5.12</v>
      </c>
      <c r="H28" s="459">
        <f t="shared" si="1"/>
        <v>181217.28</v>
      </c>
      <c r="I28" s="460">
        <v>2</v>
      </c>
      <c r="J28" s="454">
        <v>17697</v>
      </c>
      <c r="K28" s="461">
        <f t="shared" si="2"/>
        <v>1.0625</v>
      </c>
      <c r="L28" s="462">
        <v>17</v>
      </c>
      <c r="M28" s="462">
        <f t="shared" si="3"/>
        <v>192543.35999999999</v>
      </c>
      <c r="N28" s="462">
        <v>0</v>
      </c>
      <c r="O28" s="462">
        <f t="shared" si="4"/>
        <v>0</v>
      </c>
      <c r="P28" s="462">
        <v>0</v>
      </c>
      <c r="Q28" s="459">
        <f t="shared" si="5"/>
        <v>0</v>
      </c>
      <c r="R28" s="459">
        <f t="shared" si="6"/>
        <v>48135.839999999997</v>
      </c>
      <c r="S28" s="459">
        <f t="shared" si="7"/>
        <v>240679.19999999998</v>
      </c>
      <c r="T28" s="459">
        <f t="shared" si="8"/>
        <v>24067.919999999998</v>
      </c>
      <c r="U28" s="460">
        <v>1</v>
      </c>
      <c r="V28" s="463">
        <f t="shared" si="9"/>
        <v>8848.5</v>
      </c>
      <c r="W28" s="460"/>
      <c r="X28" s="464">
        <f t="shared" si="10"/>
        <v>0</v>
      </c>
      <c r="Y28" s="454">
        <v>8</v>
      </c>
      <c r="Z28" s="459">
        <f t="shared" si="11"/>
        <v>3539.4</v>
      </c>
      <c r="AA28" s="460"/>
      <c r="AB28" s="459">
        <f t="shared" si="12"/>
        <v>0</v>
      </c>
      <c r="AC28" s="465"/>
      <c r="AD28" s="460"/>
      <c r="AE28" s="459">
        <f t="shared" si="13"/>
        <v>72203.759999999995</v>
      </c>
      <c r="AF28" s="460"/>
      <c r="AG28" s="464">
        <f t="shared" si="14"/>
        <v>0</v>
      </c>
      <c r="AH28" s="454"/>
      <c r="AI28" s="459"/>
      <c r="AJ28" s="459">
        <f>S28*35%</f>
        <v>84237.719999999987</v>
      </c>
      <c r="AK28" s="459"/>
      <c r="AL28" s="460"/>
      <c r="AM28" s="459">
        <f t="shared" si="15"/>
        <v>433576.5</v>
      </c>
      <c r="AN28" s="459">
        <f t="shared" si="16"/>
        <v>5202918</v>
      </c>
      <c r="AO28" s="466"/>
    </row>
    <row r="29" spans="1:41" s="245" customFormat="1" ht="17.25" customHeight="1">
      <c r="A29" s="454">
        <v>11</v>
      </c>
      <c r="B29" s="455" t="s">
        <v>518</v>
      </c>
      <c r="C29" s="455" t="s">
        <v>481</v>
      </c>
      <c r="D29" s="456" t="s">
        <v>37</v>
      </c>
      <c r="E29" s="457" t="s">
        <v>178</v>
      </c>
      <c r="F29" s="457">
        <v>7.4</v>
      </c>
      <c r="G29" s="458">
        <v>4.79</v>
      </c>
      <c r="H29" s="459">
        <f t="shared" si="1"/>
        <v>169537.26</v>
      </c>
      <c r="I29" s="460">
        <v>2</v>
      </c>
      <c r="J29" s="454">
        <v>17697</v>
      </c>
      <c r="K29" s="461">
        <f t="shared" si="2"/>
        <v>1.0625</v>
      </c>
      <c r="L29" s="462">
        <v>17</v>
      </c>
      <c r="M29" s="462">
        <f t="shared" si="3"/>
        <v>180133.33875</v>
      </c>
      <c r="N29" s="462">
        <v>0</v>
      </c>
      <c r="O29" s="462">
        <f t="shared" si="4"/>
        <v>0</v>
      </c>
      <c r="P29" s="462">
        <v>0</v>
      </c>
      <c r="Q29" s="459">
        <f t="shared" si="5"/>
        <v>0</v>
      </c>
      <c r="R29" s="459">
        <f t="shared" si="6"/>
        <v>45033.334687499999</v>
      </c>
      <c r="S29" s="459">
        <f t="shared" si="7"/>
        <v>225166.67343749999</v>
      </c>
      <c r="T29" s="459">
        <f t="shared" si="8"/>
        <v>22516.667343749999</v>
      </c>
      <c r="U29" s="460">
        <v>1</v>
      </c>
      <c r="V29" s="463">
        <f t="shared" si="9"/>
        <v>8848.5</v>
      </c>
      <c r="W29" s="460"/>
      <c r="X29" s="464">
        <f t="shared" si="10"/>
        <v>0</v>
      </c>
      <c r="Y29" s="454">
        <v>10</v>
      </c>
      <c r="Z29" s="459">
        <f t="shared" si="11"/>
        <v>4424.25</v>
      </c>
      <c r="AA29" s="460"/>
      <c r="AB29" s="459">
        <f t="shared" si="12"/>
        <v>0</v>
      </c>
      <c r="AC29" s="465"/>
      <c r="AD29" s="460"/>
      <c r="AE29" s="459">
        <f t="shared" si="13"/>
        <v>67550.002031249998</v>
      </c>
      <c r="AF29" s="460"/>
      <c r="AG29" s="464">
        <f t="shared" si="14"/>
        <v>0</v>
      </c>
      <c r="AH29" s="454"/>
      <c r="AI29" s="459"/>
      <c r="AJ29" s="459">
        <f>S29*35%</f>
        <v>78808.335703124991</v>
      </c>
      <c r="AK29" s="459"/>
      <c r="AL29" s="460"/>
      <c r="AM29" s="459">
        <f t="shared" si="15"/>
        <v>407314.42851562495</v>
      </c>
      <c r="AN29" s="459">
        <f t="shared" si="16"/>
        <v>4887773.1421874994</v>
      </c>
      <c r="AO29" s="466"/>
    </row>
    <row r="30" spans="1:41" s="245" customFormat="1" ht="17.25" customHeight="1">
      <c r="A30" s="454">
        <v>12</v>
      </c>
      <c r="B30" s="455" t="s">
        <v>520</v>
      </c>
      <c r="C30" s="455" t="s">
        <v>483</v>
      </c>
      <c r="D30" s="456" t="s">
        <v>37</v>
      </c>
      <c r="E30" s="457" t="s">
        <v>177</v>
      </c>
      <c r="F30" s="457">
        <v>3.11</v>
      </c>
      <c r="G30" s="458">
        <v>4.59</v>
      </c>
      <c r="H30" s="459">
        <f t="shared" si="1"/>
        <v>162458.46</v>
      </c>
      <c r="I30" s="460">
        <v>2</v>
      </c>
      <c r="J30" s="454">
        <v>17697</v>
      </c>
      <c r="K30" s="461">
        <f t="shared" si="2"/>
        <v>1.3125</v>
      </c>
      <c r="L30" s="462">
        <v>0</v>
      </c>
      <c r="M30" s="462">
        <f t="shared" si="3"/>
        <v>0</v>
      </c>
      <c r="N30" s="462">
        <v>18</v>
      </c>
      <c r="O30" s="462">
        <f t="shared" si="4"/>
        <v>182765.76749999999</v>
      </c>
      <c r="P30" s="462">
        <v>3</v>
      </c>
      <c r="Q30" s="459">
        <f t="shared" si="5"/>
        <v>30460.96125</v>
      </c>
      <c r="R30" s="459">
        <f t="shared" si="6"/>
        <v>53306.682187499995</v>
      </c>
      <c r="S30" s="459">
        <f t="shared" si="7"/>
        <v>266533.41093749995</v>
      </c>
      <c r="T30" s="459">
        <f t="shared" si="8"/>
        <v>26653.341093749998</v>
      </c>
      <c r="U30" s="460"/>
      <c r="V30" s="463">
        <f t="shared" si="9"/>
        <v>0</v>
      </c>
      <c r="W30" s="460"/>
      <c r="X30" s="464">
        <f t="shared" si="10"/>
        <v>0</v>
      </c>
      <c r="Y30" s="454"/>
      <c r="Z30" s="459">
        <f t="shared" si="11"/>
        <v>0</v>
      </c>
      <c r="AA30" s="460"/>
      <c r="AB30" s="459">
        <f t="shared" si="12"/>
        <v>0</v>
      </c>
      <c r="AC30" s="465"/>
      <c r="AD30" s="460"/>
      <c r="AE30" s="459">
        <f t="shared" si="13"/>
        <v>79960.023281249989</v>
      </c>
      <c r="AF30" s="460"/>
      <c r="AG30" s="464">
        <f t="shared" si="14"/>
        <v>0</v>
      </c>
      <c r="AH30" s="454"/>
      <c r="AI30" s="459">
        <f>S30*30%</f>
        <v>79960.023281249989</v>
      </c>
      <c r="AJ30" s="459"/>
      <c r="AK30" s="459"/>
      <c r="AL30" s="460"/>
      <c r="AM30" s="459">
        <f t="shared" si="15"/>
        <v>453106.79859374987</v>
      </c>
      <c r="AN30" s="459">
        <f t="shared" si="16"/>
        <v>5437281.583124999</v>
      </c>
      <c r="AO30" s="466"/>
    </row>
    <row r="31" spans="1:41" s="245" customFormat="1" ht="17.25" customHeight="1">
      <c r="A31" s="454">
        <v>13</v>
      </c>
      <c r="B31" s="455" t="s">
        <v>521</v>
      </c>
      <c r="C31" s="455" t="s">
        <v>481</v>
      </c>
      <c r="D31" s="456" t="s">
        <v>37</v>
      </c>
      <c r="E31" s="457" t="s">
        <v>178</v>
      </c>
      <c r="F31" s="457">
        <v>14</v>
      </c>
      <c r="G31" s="458">
        <v>4.95</v>
      </c>
      <c r="H31" s="459">
        <f t="shared" si="1"/>
        <v>175200.30000000002</v>
      </c>
      <c r="I31" s="460">
        <v>2</v>
      </c>
      <c r="J31" s="454">
        <v>17697</v>
      </c>
      <c r="K31" s="461">
        <f t="shared" si="2"/>
        <v>0.4375</v>
      </c>
      <c r="L31" s="462">
        <v>7</v>
      </c>
      <c r="M31" s="462">
        <f t="shared" si="3"/>
        <v>76650.131250000006</v>
      </c>
      <c r="N31" s="462">
        <v>0</v>
      </c>
      <c r="O31" s="462">
        <f t="shared" si="4"/>
        <v>0</v>
      </c>
      <c r="P31" s="462">
        <v>0</v>
      </c>
      <c r="Q31" s="459">
        <f t="shared" si="5"/>
        <v>0</v>
      </c>
      <c r="R31" s="459">
        <f t="shared" si="6"/>
        <v>19162.532812500001</v>
      </c>
      <c r="S31" s="459">
        <f t="shared" si="7"/>
        <v>95812.6640625</v>
      </c>
      <c r="T31" s="459">
        <f t="shared" si="8"/>
        <v>9581.2664062500007</v>
      </c>
      <c r="U31" s="460">
        <v>1</v>
      </c>
      <c r="V31" s="463">
        <f t="shared" si="9"/>
        <v>8848.5</v>
      </c>
      <c r="W31" s="460"/>
      <c r="X31" s="464">
        <f t="shared" si="10"/>
        <v>0</v>
      </c>
      <c r="Y31" s="454">
        <v>4</v>
      </c>
      <c r="Z31" s="459">
        <f t="shared" si="11"/>
        <v>1769.7</v>
      </c>
      <c r="AA31" s="460"/>
      <c r="AB31" s="459">
        <f t="shared" si="12"/>
        <v>0</v>
      </c>
      <c r="AC31" s="465"/>
      <c r="AD31" s="460"/>
      <c r="AE31" s="459">
        <f t="shared" si="13"/>
        <v>28743.799218749999</v>
      </c>
      <c r="AF31" s="460"/>
      <c r="AG31" s="464">
        <f t="shared" si="14"/>
        <v>0</v>
      </c>
      <c r="AH31" s="454"/>
      <c r="AI31" s="459"/>
      <c r="AJ31" s="459">
        <f>S31*35%</f>
        <v>33534.432421874997</v>
      </c>
      <c r="AK31" s="459"/>
      <c r="AL31" s="460"/>
      <c r="AM31" s="459">
        <f t="shared" si="15"/>
        <v>178290.36210937501</v>
      </c>
      <c r="AN31" s="459">
        <f t="shared" si="16"/>
        <v>2139484.3453125004</v>
      </c>
      <c r="AO31" s="466"/>
    </row>
    <row r="32" spans="1:41" s="245" customFormat="1" ht="17.25" customHeight="1">
      <c r="A32" s="454">
        <v>14</v>
      </c>
      <c r="B32" s="455" t="s">
        <v>630</v>
      </c>
      <c r="C32" s="455" t="s">
        <v>484</v>
      </c>
      <c r="D32" s="456" t="s">
        <v>37</v>
      </c>
      <c r="E32" s="457" t="s">
        <v>177</v>
      </c>
      <c r="F32" s="457">
        <v>5.5</v>
      </c>
      <c r="G32" s="458">
        <v>4.66</v>
      </c>
      <c r="H32" s="459">
        <f t="shared" si="1"/>
        <v>164936.04</v>
      </c>
      <c r="I32" s="460">
        <v>2</v>
      </c>
      <c r="J32" s="454">
        <v>17697</v>
      </c>
      <c r="K32" s="461">
        <f t="shared" si="2"/>
        <v>1.1875</v>
      </c>
      <c r="L32" s="462">
        <v>6</v>
      </c>
      <c r="M32" s="462">
        <f t="shared" si="3"/>
        <v>61851.014999999999</v>
      </c>
      <c r="N32" s="462">
        <v>13</v>
      </c>
      <c r="O32" s="462">
        <f t="shared" si="4"/>
        <v>134010.5325</v>
      </c>
      <c r="P32" s="462">
        <v>0</v>
      </c>
      <c r="Q32" s="459">
        <f t="shared" si="5"/>
        <v>0</v>
      </c>
      <c r="R32" s="459">
        <f t="shared" si="6"/>
        <v>48965.386874999997</v>
      </c>
      <c r="S32" s="459">
        <f t="shared" si="7"/>
        <v>244826.93437499998</v>
      </c>
      <c r="T32" s="459">
        <f t="shared" si="8"/>
        <v>24482.693437499998</v>
      </c>
      <c r="U32" s="460"/>
      <c r="V32" s="463"/>
      <c r="W32" s="460"/>
      <c r="X32" s="464"/>
      <c r="Y32" s="454"/>
      <c r="Z32" s="459"/>
      <c r="AA32" s="460">
        <v>9</v>
      </c>
      <c r="AB32" s="459">
        <f t="shared" si="12"/>
        <v>4977.28125</v>
      </c>
      <c r="AC32" s="465"/>
      <c r="AD32" s="460"/>
      <c r="AE32" s="459">
        <f t="shared" si="13"/>
        <v>73448.080312499995</v>
      </c>
      <c r="AF32" s="460"/>
      <c r="AG32" s="464">
        <f t="shared" si="14"/>
        <v>0</v>
      </c>
      <c r="AH32" s="454"/>
      <c r="AI32" s="459">
        <f>S32*30%</f>
        <v>73448.080312499995</v>
      </c>
      <c r="AJ32" s="459"/>
      <c r="AK32" s="459"/>
      <c r="AL32" s="460"/>
      <c r="AM32" s="459">
        <f t="shared" si="15"/>
        <v>421183.06968750001</v>
      </c>
      <c r="AN32" s="459">
        <f t="shared" si="16"/>
        <v>5054196.8362499997</v>
      </c>
      <c r="AO32" s="466"/>
    </row>
    <row r="33" spans="1:41" s="245" customFormat="1" ht="17.25" customHeight="1">
      <c r="A33" s="454">
        <v>15</v>
      </c>
      <c r="B33" s="455" t="s">
        <v>522</v>
      </c>
      <c r="C33" s="455" t="s">
        <v>483</v>
      </c>
      <c r="D33" s="456" t="s">
        <v>37</v>
      </c>
      <c r="E33" s="457" t="s">
        <v>174</v>
      </c>
      <c r="F33" s="457">
        <v>31.11</v>
      </c>
      <c r="G33" s="458">
        <v>5.41</v>
      </c>
      <c r="H33" s="459">
        <f t="shared" si="1"/>
        <v>191481.54</v>
      </c>
      <c r="I33" s="460">
        <v>2</v>
      </c>
      <c r="J33" s="454">
        <v>17697</v>
      </c>
      <c r="K33" s="461">
        <f t="shared" si="2"/>
        <v>1.625</v>
      </c>
      <c r="L33" s="462">
        <v>0</v>
      </c>
      <c r="M33" s="462">
        <f t="shared" si="3"/>
        <v>0</v>
      </c>
      <c r="N33" s="462">
        <v>17</v>
      </c>
      <c r="O33" s="462">
        <f t="shared" si="4"/>
        <v>203449.13625000001</v>
      </c>
      <c r="P33" s="462">
        <v>9</v>
      </c>
      <c r="Q33" s="459">
        <f t="shared" si="5"/>
        <v>107708.36625000001</v>
      </c>
      <c r="R33" s="459">
        <f t="shared" si="6"/>
        <v>77789.375625000001</v>
      </c>
      <c r="S33" s="459">
        <f t="shared" si="7"/>
        <v>388946.87812499999</v>
      </c>
      <c r="T33" s="459">
        <f t="shared" si="8"/>
        <v>38894.6878125</v>
      </c>
      <c r="U33" s="460"/>
      <c r="V33" s="463">
        <f t="shared" ref="V33:V56" si="17">17697*50%*U33</f>
        <v>0</v>
      </c>
      <c r="W33" s="460"/>
      <c r="X33" s="464">
        <f t="shared" ref="X33:X56" si="18">17697*60%*W33</f>
        <v>0</v>
      </c>
      <c r="Y33" s="454"/>
      <c r="Z33" s="459">
        <f t="shared" ref="Z33:Z56" si="19">17697*40%/16*Y33</f>
        <v>0</v>
      </c>
      <c r="AA33" s="460"/>
      <c r="AB33" s="459">
        <f t="shared" si="12"/>
        <v>0</v>
      </c>
      <c r="AC33" s="465"/>
      <c r="AD33" s="460"/>
      <c r="AE33" s="459">
        <f t="shared" si="13"/>
        <v>116684.06343749999</v>
      </c>
      <c r="AF33" s="460"/>
      <c r="AG33" s="464">
        <f t="shared" si="14"/>
        <v>0</v>
      </c>
      <c r="AH33" s="454"/>
      <c r="AI33" s="459"/>
      <c r="AJ33" s="459"/>
      <c r="AK33" s="459">
        <f>S33*40%</f>
        <v>155578.75125</v>
      </c>
      <c r="AL33" s="460"/>
      <c r="AM33" s="459">
        <f t="shared" si="15"/>
        <v>700104.38062499999</v>
      </c>
      <c r="AN33" s="459">
        <f t="shared" si="16"/>
        <v>8401252.567499999</v>
      </c>
      <c r="AO33" s="466"/>
    </row>
    <row r="34" spans="1:41" s="245" customFormat="1" ht="17.25" customHeight="1">
      <c r="A34" s="454">
        <v>16</v>
      </c>
      <c r="B34" s="467" t="s">
        <v>657</v>
      </c>
      <c r="C34" s="467" t="s">
        <v>482</v>
      </c>
      <c r="D34" s="457" t="s">
        <v>37</v>
      </c>
      <c r="E34" s="457" t="s">
        <v>180</v>
      </c>
      <c r="F34" s="469">
        <v>10.6</v>
      </c>
      <c r="G34" s="469">
        <v>4.38</v>
      </c>
      <c r="H34" s="459">
        <f t="shared" si="1"/>
        <v>155025.72</v>
      </c>
      <c r="I34" s="460">
        <v>2</v>
      </c>
      <c r="J34" s="454">
        <v>17697</v>
      </c>
      <c r="K34" s="461">
        <f t="shared" si="2"/>
        <v>0.625</v>
      </c>
      <c r="L34" s="470">
        <v>0</v>
      </c>
      <c r="M34" s="462">
        <f t="shared" si="3"/>
        <v>0</v>
      </c>
      <c r="N34" s="470">
        <v>2</v>
      </c>
      <c r="O34" s="462">
        <f t="shared" si="4"/>
        <v>19378.215</v>
      </c>
      <c r="P34" s="462">
        <v>8</v>
      </c>
      <c r="Q34" s="459">
        <f t="shared" si="5"/>
        <v>77512.86</v>
      </c>
      <c r="R34" s="459">
        <f t="shared" si="6"/>
        <v>24222.768749999999</v>
      </c>
      <c r="S34" s="459">
        <f t="shared" si="7"/>
        <v>121113.84375</v>
      </c>
      <c r="T34" s="459">
        <f t="shared" si="8"/>
        <v>12111.384375000001</v>
      </c>
      <c r="U34" s="471"/>
      <c r="V34" s="463">
        <f t="shared" si="17"/>
        <v>0</v>
      </c>
      <c r="W34" s="471"/>
      <c r="X34" s="464">
        <f t="shared" si="18"/>
        <v>0</v>
      </c>
      <c r="Y34" s="471">
        <v>9</v>
      </c>
      <c r="Z34" s="459">
        <f t="shared" si="19"/>
        <v>3981.8250000000003</v>
      </c>
      <c r="AA34" s="471"/>
      <c r="AB34" s="459">
        <f t="shared" si="12"/>
        <v>0</v>
      </c>
      <c r="AC34" s="469"/>
      <c r="AD34" s="471"/>
      <c r="AE34" s="459">
        <f t="shared" si="13"/>
        <v>36334.153124999997</v>
      </c>
      <c r="AF34" s="471"/>
      <c r="AG34" s="464">
        <f t="shared" si="14"/>
        <v>0</v>
      </c>
      <c r="AH34" s="471"/>
      <c r="AI34" s="459"/>
      <c r="AJ34" s="459"/>
      <c r="AK34" s="459"/>
      <c r="AL34" s="471"/>
      <c r="AM34" s="459">
        <f t="shared" si="15"/>
        <v>173541.20624999999</v>
      </c>
      <c r="AN34" s="459">
        <f t="shared" si="16"/>
        <v>2082494.4749999999</v>
      </c>
      <c r="AO34" s="466"/>
    </row>
    <row r="35" spans="1:41" s="245" customFormat="1" ht="17.25" customHeight="1">
      <c r="A35" s="454">
        <v>17</v>
      </c>
      <c r="B35" s="455" t="s">
        <v>524</v>
      </c>
      <c r="C35" s="455" t="s">
        <v>486</v>
      </c>
      <c r="D35" s="456" t="s">
        <v>37</v>
      </c>
      <c r="E35" s="457" t="s">
        <v>175</v>
      </c>
      <c r="F35" s="457">
        <v>2.5</v>
      </c>
      <c r="G35" s="458">
        <v>4.1900000000000004</v>
      </c>
      <c r="H35" s="459">
        <f t="shared" si="1"/>
        <v>148300.86000000002</v>
      </c>
      <c r="I35" s="460">
        <v>2</v>
      </c>
      <c r="J35" s="454">
        <v>17697</v>
      </c>
      <c r="K35" s="461">
        <f t="shared" si="2"/>
        <v>1.1875</v>
      </c>
      <c r="L35" s="462">
        <v>0</v>
      </c>
      <c r="M35" s="462">
        <f t="shared" si="3"/>
        <v>0</v>
      </c>
      <c r="N35" s="462">
        <v>15</v>
      </c>
      <c r="O35" s="462">
        <f t="shared" si="4"/>
        <v>139032.05625000002</v>
      </c>
      <c r="P35" s="462">
        <v>4</v>
      </c>
      <c r="Q35" s="459">
        <f t="shared" si="5"/>
        <v>37075.215000000004</v>
      </c>
      <c r="R35" s="459">
        <f t="shared" si="6"/>
        <v>44026.817812500005</v>
      </c>
      <c r="S35" s="459">
        <f t="shared" si="7"/>
        <v>220134.08906250002</v>
      </c>
      <c r="T35" s="459">
        <f t="shared" si="8"/>
        <v>22013.408906250002</v>
      </c>
      <c r="U35" s="460"/>
      <c r="V35" s="463">
        <f t="shared" si="17"/>
        <v>0</v>
      </c>
      <c r="W35" s="460"/>
      <c r="X35" s="464">
        <f t="shared" si="18"/>
        <v>0</v>
      </c>
      <c r="Y35" s="454">
        <v>11</v>
      </c>
      <c r="Z35" s="459">
        <f t="shared" si="19"/>
        <v>4866.6750000000002</v>
      </c>
      <c r="AA35" s="460"/>
      <c r="AB35" s="459">
        <f t="shared" si="12"/>
        <v>0</v>
      </c>
      <c r="AC35" s="465"/>
      <c r="AD35" s="460"/>
      <c r="AE35" s="459">
        <f t="shared" si="13"/>
        <v>66040.226718749997</v>
      </c>
      <c r="AF35" s="460"/>
      <c r="AG35" s="464">
        <f t="shared" si="14"/>
        <v>0</v>
      </c>
      <c r="AH35" s="454"/>
      <c r="AI35" s="459"/>
      <c r="AJ35" s="459"/>
      <c r="AK35" s="459"/>
      <c r="AL35" s="460"/>
      <c r="AM35" s="459">
        <f t="shared" si="15"/>
        <v>313054.39968749997</v>
      </c>
      <c r="AN35" s="459">
        <f t="shared" si="16"/>
        <v>3756652.7962499997</v>
      </c>
      <c r="AO35" s="466"/>
    </row>
    <row r="36" spans="1:41" s="245" customFormat="1" ht="17.25" customHeight="1">
      <c r="A36" s="454">
        <v>18</v>
      </c>
      <c r="B36" s="455" t="s">
        <v>525</v>
      </c>
      <c r="C36" s="455" t="s">
        <v>480</v>
      </c>
      <c r="D36" s="456" t="s">
        <v>37</v>
      </c>
      <c r="E36" s="457" t="s">
        <v>177</v>
      </c>
      <c r="F36" s="457">
        <v>6.1</v>
      </c>
      <c r="G36" s="458">
        <v>4.66</v>
      </c>
      <c r="H36" s="459">
        <f t="shared" si="1"/>
        <v>164936.04</v>
      </c>
      <c r="I36" s="460">
        <v>2</v>
      </c>
      <c r="J36" s="454">
        <v>17697</v>
      </c>
      <c r="K36" s="461">
        <f t="shared" si="2"/>
        <v>1.3125</v>
      </c>
      <c r="L36" s="462"/>
      <c r="M36" s="462">
        <f t="shared" si="3"/>
        <v>0</v>
      </c>
      <c r="N36" s="462">
        <v>18</v>
      </c>
      <c r="O36" s="462">
        <f t="shared" si="4"/>
        <v>185553.04500000001</v>
      </c>
      <c r="P36" s="462">
        <v>3</v>
      </c>
      <c r="Q36" s="459">
        <f t="shared" si="5"/>
        <v>30925.5075</v>
      </c>
      <c r="R36" s="459">
        <f t="shared" si="6"/>
        <v>54119.638125000005</v>
      </c>
      <c r="S36" s="459">
        <f t="shared" si="7"/>
        <v>270598.19062500005</v>
      </c>
      <c r="T36" s="459">
        <f t="shared" si="8"/>
        <v>27059.819062500006</v>
      </c>
      <c r="U36" s="460"/>
      <c r="V36" s="463">
        <f t="shared" si="17"/>
        <v>0</v>
      </c>
      <c r="W36" s="460">
        <v>1</v>
      </c>
      <c r="X36" s="464">
        <f t="shared" si="18"/>
        <v>10618.199999999999</v>
      </c>
      <c r="Y36" s="454">
        <v>14.5</v>
      </c>
      <c r="Z36" s="459">
        <f t="shared" si="19"/>
        <v>6415.1625000000004</v>
      </c>
      <c r="AA36" s="460"/>
      <c r="AB36" s="459">
        <f t="shared" si="12"/>
        <v>0</v>
      </c>
      <c r="AC36" s="465"/>
      <c r="AD36" s="460"/>
      <c r="AE36" s="459">
        <f t="shared" si="13"/>
        <v>81179.457187500011</v>
      </c>
      <c r="AF36" s="460"/>
      <c r="AG36" s="464">
        <f t="shared" si="14"/>
        <v>0</v>
      </c>
      <c r="AH36" s="454"/>
      <c r="AI36" s="459">
        <f>S36*30%</f>
        <v>81179.457187500011</v>
      </c>
      <c r="AJ36" s="459"/>
      <c r="AK36" s="459"/>
      <c r="AL36" s="460"/>
      <c r="AM36" s="459">
        <f t="shared" si="15"/>
        <v>477050.28656250011</v>
      </c>
      <c r="AN36" s="459">
        <f t="shared" si="16"/>
        <v>5724603.4387500016</v>
      </c>
      <c r="AO36" s="466"/>
    </row>
    <row r="37" spans="1:41" s="245" customFormat="1" ht="17.25" customHeight="1">
      <c r="A37" s="454">
        <v>19</v>
      </c>
      <c r="B37" s="455" t="s">
        <v>499</v>
      </c>
      <c r="C37" s="455" t="s">
        <v>574</v>
      </c>
      <c r="D37" s="456" t="s">
        <v>37</v>
      </c>
      <c r="E37" s="457" t="s">
        <v>174</v>
      </c>
      <c r="F37" s="457">
        <v>28</v>
      </c>
      <c r="G37" s="458">
        <v>5.41</v>
      </c>
      <c r="H37" s="459">
        <f t="shared" si="1"/>
        <v>191481.54</v>
      </c>
      <c r="I37" s="460">
        <v>2</v>
      </c>
      <c r="J37" s="454">
        <v>17697</v>
      </c>
      <c r="K37" s="461">
        <f t="shared" si="2"/>
        <v>0.5</v>
      </c>
      <c r="L37" s="462">
        <v>0</v>
      </c>
      <c r="M37" s="462">
        <f t="shared" si="3"/>
        <v>0</v>
      </c>
      <c r="N37" s="462">
        <v>8</v>
      </c>
      <c r="O37" s="462">
        <f t="shared" si="4"/>
        <v>95740.77</v>
      </c>
      <c r="P37" s="472">
        <v>0</v>
      </c>
      <c r="Q37" s="459">
        <f t="shared" si="5"/>
        <v>0</v>
      </c>
      <c r="R37" s="459">
        <f t="shared" si="6"/>
        <v>23935.192500000001</v>
      </c>
      <c r="S37" s="459">
        <f t="shared" si="7"/>
        <v>119675.96250000001</v>
      </c>
      <c r="T37" s="459">
        <f t="shared" si="8"/>
        <v>11967.596250000002</v>
      </c>
      <c r="U37" s="460"/>
      <c r="V37" s="463">
        <f t="shared" si="17"/>
        <v>0</v>
      </c>
      <c r="W37" s="460"/>
      <c r="X37" s="464">
        <f t="shared" si="18"/>
        <v>0</v>
      </c>
      <c r="Y37" s="460"/>
      <c r="Z37" s="459">
        <f t="shared" si="19"/>
        <v>0</v>
      </c>
      <c r="AA37" s="460">
        <v>8</v>
      </c>
      <c r="AB37" s="459">
        <f t="shared" si="12"/>
        <v>4424.25</v>
      </c>
      <c r="AC37" s="465"/>
      <c r="AD37" s="460"/>
      <c r="AE37" s="459">
        <f t="shared" si="13"/>
        <v>35902.78875</v>
      </c>
      <c r="AF37" s="460"/>
      <c r="AG37" s="464">
        <f t="shared" si="14"/>
        <v>0</v>
      </c>
      <c r="AH37" s="460"/>
      <c r="AI37" s="459"/>
      <c r="AJ37" s="459"/>
      <c r="AK37" s="459">
        <f>S37*40%</f>
        <v>47870.385000000009</v>
      </c>
      <c r="AL37" s="460"/>
      <c r="AM37" s="459">
        <f t="shared" si="15"/>
        <v>219840.98250000004</v>
      </c>
      <c r="AN37" s="459">
        <f t="shared" si="16"/>
        <v>2638091.7900000005</v>
      </c>
      <c r="AO37" s="466"/>
    </row>
    <row r="38" spans="1:41" s="245" customFormat="1" ht="17.25" customHeight="1">
      <c r="A38" s="454">
        <v>20</v>
      </c>
      <c r="B38" s="455" t="s">
        <v>516</v>
      </c>
      <c r="C38" s="455" t="s">
        <v>488</v>
      </c>
      <c r="D38" s="456" t="s">
        <v>37</v>
      </c>
      <c r="E38" s="457" t="s">
        <v>177</v>
      </c>
      <c r="F38" s="457">
        <v>24.6</v>
      </c>
      <c r="G38" s="458">
        <v>5.08</v>
      </c>
      <c r="H38" s="459">
        <f t="shared" si="1"/>
        <v>179801.52</v>
      </c>
      <c r="I38" s="460">
        <v>2</v>
      </c>
      <c r="J38" s="454">
        <v>17697</v>
      </c>
      <c r="K38" s="461">
        <f t="shared" si="2"/>
        <v>1.5</v>
      </c>
      <c r="L38" s="462">
        <v>0</v>
      </c>
      <c r="M38" s="462">
        <f t="shared" si="3"/>
        <v>0</v>
      </c>
      <c r="N38" s="462">
        <v>21</v>
      </c>
      <c r="O38" s="462">
        <f t="shared" si="4"/>
        <v>235989.495</v>
      </c>
      <c r="P38" s="462">
        <v>3</v>
      </c>
      <c r="Q38" s="459">
        <f t="shared" si="5"/>
        <v>33712.784999999996</v>
      </c>
      <c r="R38" s="459">
        <f t="shared" si="6"/>
        <v>67425.569999999992</v>
      </c>
      <c r="S38" s="459">
        <f t="shared" si="7"/>
        <v>337127.85</v>
      </c>
      <c r="T38" s="459">
        <f t="shared" si="8"/>
        <v>33712.784999999996</v>
      </c>
      <c r="U38" s="460"/>
      <c r="V38" s="463">
        <f t="shared" si="17"/>
        <v>0</v>
      </c>
      <c r="W38" s="460"/>
      <c r="X38" s="464">
        <f t="shared" si="18"/>
        <v>0</v>
      </c>
      <c r="Y38" s="454"/>
      <c r="Z38" s="459">
        <f t="shared" si="19"/>
        <v>0</v>
      </c>
      <c r="AA38" s="460"/>
      <c r="AB38" s="459">
        <f t="shared" si="12"/>
        <v>0</v>
      </c>
      <c r="AC38" s="465"/>
      <c r="AD38" s="460"/>
      <c r="AE38" s="459">
        <f t="shared" si="13"/>
        <v>101138.355</v>
      </c>
      <c r="AF38" s="460"/>
      <c r="AG38" s="464">
        <f t="shared" si="14"/>
        <v>0</v>
      </c>
      <c r="AH38" s="454"/>
      <c r="AI38" s="459">
        <f>S38*30%</f>
        <v>101138.355</v>
      </c>
      <c r="AJ38" s="459"/>
      <c r="AK38" s="459"/>
      <c r="AL38" s="460"/>
      <c r="AM38" s="459">
        <f t="shared" si="15"/>
        <v>573117.34499999997</v>
      </c>
      <c r="AN38" s="459">
        <f t="shared" si="16"/>
        <v>6877408.1399999997</v>
      </c>
      <c r="AO38" s="466"/>
    </row>
    <row r="39" spans="1:41" s="245" customFormat="1" ht="17.25" customHeight="1">
      <c r="A39" s="454">
        <v>21</v>
      </c>
      <c r="B39" s="455" t="s">
        <v>626</v>
      </c>
      <c r="C39" s="455" t="s">
        <v>519</v>
      </c>
      <c r="D39" s="456" t="s">
        <v>37</v>
      </c>
      <c r="E39" s="457" t="s">
        <v>175</v>
      </c>
      <c r="F39" s="457">
        <v>0.4</v>
      </c>
      <c r="G39" s="473">
        <v>4.0999999999999996</v>
      </c>
      <c r="H39" s="459">
        <f t="shared" si="1"/>
        <v>145115.4</v>
      </c>
      <c r="I39" s="460">
        <v>2</v>
      </c>
      <c r="J39" s="454">
        <v>17697</v>
      </c>
      <c r="K39" s="461">
        <f t="shared" si="2"/>
        <v>1</v>
      </c>
      <c r="L39" s="462">
        <v>9</v>
      </c>
      <c r="M39" s="462">
        <f t="shared" si="3"/>
        <v>81627.412499999991</v>
      </c>
      <c r="N39" s="462">
        <v>7</v>
      </c>
      <c r="O39" s="462">
        <f t="shared" si="4"/>
        <v>63487.987499999996</v>
      </c>
      <c r="P39" s="462">
        <v>0</v>
      </c>
      <c r="Q39" s="459">
        <f t="shared" si="5"/>
        <v>0</v>
      </c>
      <c r="R39" s="459">
        <f t="shared" si="6"/>
        <v>36278.85</v>
      </c>
      <c r="S39" s="459">
        <f t="shared" si="7"/>
        <v>181394.25</v>
      </c>
      <c r="T39" s="459">
        <f t="shared" si="8"/>
        <v>18139.424999999999</v>
      </c>
      <c r="U39" s="460"/>
      <c r="V39" s="463">
        <f t="shared" si="17"/>
        <v>0</v>
      </c>
      <c r="W39" s="460"/>
      <c r="X39" s="464">
        <f t="shared" si="18"/>
        <v>0</v>
      </c>
      <c r="Y39" s="454"/>
      <c r="Z39" s="459">
        <f t="shared" si="19"/>
        <v>0</v>
      </c>
      <c r="AA39" s="460"/>
      <c r="AB39" s="459">
        <f t="shared" si="12"/>
        <v>0</v>
      </c>
      <c r="AC39" s="465"/>
      <c r="AD39" s="460"/>
      <c r="AE39" s="459">
        <f t="shared" si="13"/>
        <v>54418.275000000001</v>
      </c>
      <c r="AF39" s="460"/>
      <c r="AG39" s="464">
        <f t="shared" si="14"/>
        <v>0</v>
      </c>
      <c r="AH39" s="454"/>
      <c r="AI39" s="459"/>
      <c r="AJ39" s="459"/>
      <c r="AK39" s="459"/>
      <c r="AL39" s="460"/>
      <c r="AM39" s="459">
        <f t="shared" si="15"/>
        <v>253951.94999999998</v>
      </c>
      <c r="AN39" s="459">
        <f t="shared" si="16"/>
        <v>3047423.4</v>
      </c>
      <c r="AO39" s="466"/>
    </row>
    <row r="40" spans="1:41" s="245" customFormat="1" ht="17.25" customHeight="1">
      <c r="A40" s="454">
        <v>22</v>
      </c>
      <c r="B40" s="455" t="s">
        <v>526</v>
      </c>
      <c r="C40" s="455" t="s">
        <v>484</v>
      </c>
      <c r="D40" s="456" t="s">
        <v>37</v>
      </c>
      <c r="E40" s="457" t="s">
        <v>175</v>
      </c>
      <c r="F40" s="457">
        <v>2</v>
      </c>
      <c r="G40" s="458">
        <v>4.1900000000000004</v>
      </c>
      <c r="H40" s="459">
        <f t="shared" si="1"/>
        <v>148300.86000000002</v>
      </c>
      <c r="I40" s="460">
        <v>2</v>
      </c>
      <c r="J40" s="454">
        <v>17697</v>
      </c>
      <c r="K40" s="461">
        <f t="shared" si="2"/>
        <v>1.375</v>
      </c>
      <c r="L40" s="462"/>
      <c r="M40" s="462">
        <f t="shared" si="3"/>
        <v>0</v>
      </c>
      <c r="N40" s="462">
        <v>22</v>
      </c>
      <c r="O40" s="462">
        <f t="shared" si="4"/>
        <v>203913.68250000002</v>
      </c>
      <c r="P40" s="462">
        <v>0</v>
      </c>
      <c r="Q40" s="459">
        <f t="shared" si="5"/>
        <v>0</v>
      </c>
      <c r="R40" s="459">
        <f t="shared" si="6"/>
        <v>50978.420625000006</v>
      </c>
      <c r="S40" s="459">
        <f t="shared" si="7"/>
        <v>254892.10312500002</v>
      </c>
      <c r="T40" s="459">
        <f t="shared" si="8"/>
        <v>25489.210312500003</v>
      </c>
      <c r="U40" s="460"/>
      <c r="V40" s="463">
        <f t="shared" si="17"/>
        <v>0</v>
      </c>
      <c r="W40" s="460">
        <v>1</v>
      </c>
      <c r="X40" s="464">
        <f t="shared" si="18"/>
        <v>10618.199999999999</v>
      </c>
      <c r="Y40" s="454"/>
      <c r="Z40" s="459">
        <f t="shared" si="19"/>
        <v>0</v>
      </c>
      <c r="AA40" s="460">
        <v>10.5</v>
      </c>
      <c r="AB40" s="459">
        <f t="shared" si="12"/>
        <v>5806.828125</v>
      </c>
      <c r="AC40" s="465"/>
      <c r="AD40" s="460"/>
      <c r="AE40" s="459">
        <f t="shared" si="13"/>
        <v>76467.630937499998</v>
      </c>
      <c r="AF40" s="460"/>
      <c r="AG40" s="464">
        <f t="shared" si="14"/>
        <v>0</v>
      </c>
      <c r="AH40" s="454"/>
      <c r="AI40" s="459"/>
      <c r="AJ40" s="459"/>
      <c r="AK40" s="459"/>
      <c r="AL40" s="460"/>
      <c r="AM40" s="459">
        <f t="shared" si="15"/>
        <v>373273.97250000003</v>
      </c>
      <c r="AN40" s="459">
        <f t="shared" si="16"/>
        <v>4479287.67</v>
      </c>
      <c r="AO40" s="466"/>
    </row>
    <row r="41" spans="1:41" s="245" customFormat="1" ht="17.25" customHeight="1">
      <c r="A41" s="454">
        <v>23</v>
      </c>
      <c r="B41" s="455" t="s">
        <v>505</v>
      </c>
      <c r="C41" s="455" t="s">
        <v>485</v>
      </c>
      <c r="D41" s="456" t="s">
        <v>37</v>
      </c>
      <c r="E41" s="457" t="s">
        <v>175</v>
      </c>
      <c r="F41" s="458">
        <v>15.1</v>
      </c>
      <c r="G41" s="458">
        <v>4.49</v>
      </c>
      <c r="H41" s="459">
        <f t="shared" si="1"/>
        <v>158919.06</v>
      </c>
      <c r="I41" s="460">
        <v>2</v>
      </c>
      <c r="J41" s="454">
        <v>17697</v>
      </c>
      <c r="K41" s="461">
        <f t="shared" si="2"/>
        <v>0.5</v>
      </c>
      <c r="L41" s="462">
        <v>0</v>
      </c>
      <c r="M41" s="462">
        <f t="shared" si="3"/>
        <v>0</v>
      </c>
      <c r="N41" s="462">
        <v>7</v>
      </c>
      <c r="O41" s="462">
        <f t="shared" si="4"/>
        <v>69527.088749999995</v>
      </c>
      <c r="P41" s="462">
        <v>1</v>
      </c>
      <c r="Q41" s="459">
        <f t="shared" si="5"/>
        <v>9932.4412499999999</v>
      </c>
      <c r="R41" s="459">
        <f t="shared" si="6"/>
        <v>19864.8825</v>
      </c>
      <c r="S41" s="459">
        <f t="shared" si="7"/>
        <v>99324.412500000006</v>
      </c>
      <c r="T41" s="459">
        <f t="shared" si="8"/>
        <v>9932.4412500000017</v>
      </c>
      <c r="U41" s="460"/>
      <c r="V41" s="463">
        <f t="shared" si="17"/>
        <v>0</v>
      </c>
      <c r="W41" s="460"/>
      <c r="X41" s="464">
        <f t="shared" si="18"/>
        <v>0</v>
      </c>
      <c r="Y41" s="454"/>
      <c r="Z41" s="459">
        <f t="shared" si="19"/>
        <v>0</v>
      </c>
      <c r="AA41" s="460"/>
      <c r="AB41" s="459">
        <f t="shared" si="12"/>
        <v>0</v>
      </c>
      <c r="AC41" s="465"/>
      <c r="AD41" s="460"/>
      <c r="AE41" s="459">
        <f t="shared" si="13"/>
        <v>29797.32375</v>
      </c>
      <c r="AF41" s="460"/>
      <c r="AG41" s="464">
        <f t="shared" si="14"/>
        <v>0</v>
      </c>
      <c r="AH41" s="454"/>
      <c r="AI41" s="459"/>
      <c r="AJ41" s="459"/>
      <c r="AK41" s="459"/>
      <c r="AL41" s="460"/>
      <c r="AM41" s="459">
        <f t="shared" si="15"/>
        <v>139054.17750000002</v>
      </c>
      <c r="AN41" s="459">
        <f t="shared" si="16"/>
        <v>1668650.1300000004</v>
      </c>
      <c r="AO41" s="466"/>
    </row>
    <row r="42" spans="1:41" s="245" customFormat="1" ht="17.25" customHeight="1">
      <c r="A42" s="454">
        <v>24</v>
      </c>
      <c r="B42" s="455" t="s">
        <v>527</v>
      </c>
      <c r="C42" s="455" t="s">
        <v>480</v>
      </c>
      <c r="D42" s="456" t="s">
        <v>37</v>
      </c>
      <c r="E42" s="457" t="s">
        <v>177</v>
      </c>
      <c r="F42" s="458">
        <v>8.1</v>
      </c>
      <c r="G42" s="458">
        <v>4.74</v>
      </c>
      <c r="H42" s="459">
        <f t="shared" si="1"/>
        <v>167767.56</v>
      </c>
      <c r="I42" s="460">
        <v>2</v>
      </c>
      <c r="J42" s="454">
        <v>17697</v>
      </c>
      <c r="K42" s="461">
        <f t="shared" si="2"/>
        <v>1.5</v>
      </c>
      <c r="L42" s="462">
        <v>4</v>
      </c>
      <c r="M42" s="462">
        <f t="shared" si="3"/>
        <v>41941.89</v>
      </c>
      <c r="N42" s="462">
        <v>20</v>
      </c>
      <c r="O42" s="462">
        <f t="shared" si="4"/>
        <v>209709.45</v>
      </c>
      <c r="P42" s="462">
        <v>0</v>
      </c>
      <c r="Q42" s="459">
        <f t="shared" si="5"/>
        <v>0</v>
      </c>
      <c r="R42" s="459">
        <f t="shared" si="6"/>
        <v>62912.835000000006</v>
      </c>
      <c r="S42" s="459">
        <f t="shared" si="7"/>
        <v>314564.17500000005</v>
      </c>
      <c r="T42" s="459">
        <f t="shared" si="8"/>
        <v>31456.417500000007</v>
      </c>
      <c r="U42" s="460"/>
      <c r="V42" s="463">
        <f t="shared" si="17"/>
        <v>0</v>
      </c>
      <c r="W42" s="460">
        <v>1</v>
      </c>
      <c r="X42" s="464">
        <f t="shared" si="18"/>
        <v>10618.199999999999</v>
      </c>
      <c r="Y42" s="454">
        <v>12.5</v>
      </c>
      <c r="Z42" s="459">
        <f t="shared" si="19"/>
        <v>5530.3125</v>
      </c>
      <c r="AA42" s="460"/>
      <c r="AB42" s="459">
        <f t="shared" si="12"/>
        <v>0</v>
      </c>
      <c r="AC42" s="465"/>
      <c r="AD42" s="460"/>
      <c r="AE42" s="459">
        <f t="shared" si="13"/>
        <v>94369.252500000017</v>
      </c>
      <c r="AF42" s="460"/>
      <c r="AG42" s="464">
        <f t="shared" si="14"/>
        <v>0</v>
      </c>
      <c r="AH42" s="454"/>
      <c r="AI42" s="459">
        <f>S42*30%</f>
        <v>94369.252500000017</v>
      </c>
      <c r="AJ42" s="459"/>
      <c r="AK42" s="459"/>
      <c r="AL42" s="460"/>
      <c r="AM42" s="459">
        <f t="shared" si="15"/>
        <v>550907.6100000001</v>
      </c>
      <c r="AN42" s="459">
        <f t="shared" si="16"/>
        <v>6610891.3200000012</v>
      </c>
      <c r="AO42" s="466"/>
    </row>
    <row r="43" spans="1:41" s="245" customFormat="1" ht="17.25" customHeight="1">
      <c r="A43" s="454">
        <v>25</v>
      </c>
      <c r="B43" s="455" t="s">
        <v>528</v>
      </c>
      <c r="C43" s="455" t="s">
        <v>568</v>
      </c>
      <c r="D43" s="456" t="s">
        <v>37</v>
      </c>
      <c r="E43" s="457" t="s">
        <v>177</v>
      </c>
      <c r="F43" s="457">
        <v>25.11</v>
      </c>
      <c r="G43" s="458">
        <v>5.16</v>
      </c>
      <c r="H43" s="459">
        <f t="shared" si="1"/>
        <v>182633.04</v>
      </c>
      <c r="I43" s="460">
        <v>2</v>
      </c>
      <c r="J43" s="454">
        <v>17697</v>
      </c>
      <c r="K43" s="461">
        <f t="shared" si="2"/>
        <v>1.21875</v>
      </c>
      <c r="L43" s="462">
        <v>6</v>
      </c>
      <c r="M43" s="462">
        <f t="shared" si="3"/>
        <v>68487.39</v>
      </c>
      <c r="N43" s="474">
        <v>12.5</v>
      </c>
      <c r="O43" s="462">
        <f t="shared" si="4"/>
        <v>142682.0625</v>
      </c>
      <c r="P43" s="462">
        <v>1</v>
      </c>
      <c r="Q43" s="459">
        <f t="shared" si="5"/>
        <v>11414.565000000001</v>
      </c>
      <c r="R43" s="459">
        <f t="shared" si="6"/>
        <v>55646.004375000004</v>
      </c>
      <c r="S43" s="459">
        <f t="shared" si="7"/>
        <v>278230.02187500003</v>
      </c>
      <c r="T43" s="459">
        <f t="shared" si="8"/>
        <v>27823.002187500006</v>
      </c>
      <c r="U43" s="460"/>
      <c r="V43" s="463">
        <f t="shared" si="17"/>
        <v>0</v>
      </c>
      <c r="W43" s="460"/>
      <c r="X43" s="464">
        <f t="shared" si="18"/>
        <v>0</v>
      </c>
      <c r="Y43" s="454"/>
      <c r="Z43" s="459">
        <f t="shared" si="19"/>
        <v>0</v>
      </c>
      <c r="AA43" s="460"/>
      <c r="AB43" s="459">
        <f t="shared" si="12"/>
        <v>0</v>
      </c>
      <c r="AC43" s="465"/>
      <c r="AD43" s="460"/>
      <c r="AE43" s="459">
        <f t="shared" si="13"/>
        <v>83469.006562500013</v>
      </c>
      <c r="AF43" s="460"/>
      <c r="AG43" s="464">
        <f t="shared" si="14"/>
        <v>0</v>
      </c>
      <c r="AH43" s="454">
        <v>3539</v>
      </c>
      <c r="AI43" s="459">
        <f>S43*30%</f>
        <v>83469.006562500013</v>
      </c>
      <c r="AJ43" s="459"/>
      <c r="AK43" s="459"/>
      <c r="AL43" s="460"/>
      <c r="AM43" s="459">
        <f t="shared" si="15"/>
        <v>476530.0371875001</v>
      </c>
      <c r="AN43" s="459">
        <f t="shared" si="16"/>
        <v>5718360.446250001</v>
      </c>
      <c r="AO43" s="466"/>
    </row>
    <row r="44" spans="1:41" s="245" customFormat="1" ht="17.25" customHeight="1">
      <c r="A44" s="454">
        <v>26</v>
      </c>
      <c r="B44" s="455" t="s">
        <v>529</v>
      </c>
      <c r="C44" s="455" t="s">
        <v>530</v>
      </c>
      <c r="D44" s="456" t="s">
        <v>37</v>
      </c>
      <c r="E44" s="457" t="s">
        <v>178</v>
      </c>
      <c r="F44" s="457">
        <v>6.11</v>
      </c>
      <c r="G44" s="458">
        <v>4.72</v>
      </c>
      <c r="H44" s="459">
        <f t="shared" si="1"/>
        <v>167059.68</v>
      </c>
      <c r="I44" s="460">
        <v>2</v>
      </c>
      <c r="J44" s="454">
        <v>17697</v>
      </c>
      <c r="K44" s="461">
        <f t="shared" si="2"/>
        <v>1.3125</v>
      </c>
      <c r="L44" s="462">
        <v>7</v>
      </c>
      <c r="M44" s="462">
        <f t="shared" si="3"/>
        <v>73088.61</v>
      </c>
      <c r="N44" s="462">
        <v>14</v>
      </c>
      <c r="O44" s="462">
        <f t="shared" si="4"/>
        <v>146177.22</v>
      </c>
      <c r="P44" s="462">
        <v>0</v>
      </c>
      <c r="Q44" s="459">
        <f t="shared" si="5"/>
        <v>0</v>
      </c>
      <c r="R44" s="459">
        <f t="shared" si="6"/>
        <v>54816.457500000004</v>
      </c>
      <c r="S44" s="459">
        <f t="shared" si="7"/>
        <v>274082.28750000003</v>
      </c>
      <c r="T44" s="459">
        <f t="shared" si="8"/>
        <v>27408.228750000006</v>
      </c>
      <c r="U44" s="460"/>
      <c r="V44" s="463">
        <f t="shared" si="17"/>
        <v>0</v>
      </c>
      <c r="W44" s="460">
        <v>1</v>
      </c>
      <c r="X44" s="464">
        <f t="shared" si="18"/>
        <v>10618.199999999999</v>
      </c>
      <c r="Y44" s="454"/>
      <c r="Z44" s="459">
        <f t="shared" si="19"/>
        <v>0</v>
      </c>
      <c r="AA44" s="460"/>
      <c r="AB44" s="459">
        <f t="shared" si="12"/>
        <v>0</v>
      </c>
      <c r="AC44" s="465"/>
      <c r="AD44" s="460">
        <v>17697</v>
      </c>
      <c r="AE44" s="459">
        <f t="shared" si="13"/>
        <v>82224.686250000013</v>
      </c>
      <c r="AF44" s="460"/>
      <c r="AG44" s="464">
        <f t="shared" si="14"/>
        <v>0</v>
      </c>
      <c r="AH44" s="454">
        <v>3539</v>
      </c>
      <c r="AI44" s="459"/>
      <c r="AJ44" s="459">
        <f>S44*35%</f>
        <v>95928.800625000003</v>
      </c>
      <c r="AK44" s="459"/>
      <c r="AL44" s="460"/>
      <c r="AM44" s="459">
        <f t="shared" si="15"/>
        <v>511498.20312500012</v>
      </c>
      <c r="AN44" s="459">
        <f t="shared" si="16"/>
        <v>6137978.4375000019</v>
      </c>
      <c r="AO44" s="466"/>
    </row>
    <row r="45" spans="1:41" s="245" customFormat="1" ht="17.25" customHeight="1">
      <c r="A45" s="454">
        <v>27</v>
      </c>
      <c r="B45" s="455" t="s">
        <v>504</v>
      </c>
      <c r="C45" s="455" t="s">
        <v>481</v>
      </c>
      <c r="D45" s="456" t="s">
        <v>37</v>
      </c>
      <c r="E45" s="457" t="s">
        <v>178</v>
      </c>
      <c r="F45" s="457">
        <v>8.11</v>
      </c>
      <c r="G45" s="458">
        <v>4.79</v>
      </c>
      <c r="H45" s="459">
        <f t="shared" si="1"/>
        <v>169537.26</v>
      </c>
      <c r="I45" s="460">
        <v>2</v>
      </c>
      <c r="J45" s="454">
        <v>17697</v>
      </c>
      <c r="K45" s="461">
        <f t="shared" si="2"/>
        <v>0.5</v>
      </c>
      <c r="L45" s="462">
        <v>8</v>
      </c>
      <c r="M45" s="462">
        <f t="shared" si="3"/>
        <v>84768.63</v>
      </c>
      <c r="N45" s="462">
        <v>0</v>
      </c>
      <c r="O45" s="462">
        <f t="shared" si="4"/>
        <v>0</v>
      </c>
      <c r="P45" s="462">
        <v>0</v>
      </c>
      <c r="Q45" s="459">
        <f t="shared" si="5"/>
        <v>0</v>
      </c>
      <c r="R45" s="459">
        <f t="shared" si="6"/>
        <v>21192.157500000001</v>
      </c>
      <c r="S45" s="459">
        <f t="shared" si="7"/>
        <v>105960.78750000001</v>
      </c>
      <c r="T45" s="459">
        <f t="shared" si="8"/>
        <v>10596.078750000001</v>
      </c>
      <c r="U45" s="460"/>
      <c r="V45" s="463">
        <f t="shared" si="17"/>
        <v>0</v>
      </c>
      <c r="W45" s="460"/>
      <c r="X45" s="464">
        <f t="shared" si="18"/>
        <v>0</v>
      </c>
      <c r="Y45" s="454">
        <v>5</v>
      </c>
      <c r="Z45" s="459">
        <f t="shared" si="19"/>
        <v>2212.125</v>
      </c>
      <c r="AA45" s="460"/>
      <c r="AB45" s="459">
        <f t="shared" si="12"/>
        <v>0</v>
      </c>
      <c r="AC45" s="465"/>
      <c r="AD45" s="460"/>
      <c r="AE45" s="459">
        <f t="shared" si="13"/>
        <v>31788.236250000002</v>
      </c>
      <c r="AF45" s="460"/>
      <c r="AG45" s="464">
        <f t="shared" si="14"/>
        <v>0</v>
      </c>
      <c r="AH45" s="454"/>
      <c r="AI45" s="459"/>
      <c r="AJ45" s="459">
        <f>S45*35%</f>
        <v>37086.275625000002</v>
      </c>
      <c r="AK45" s="459"/>
      <c r="AL45" s="460"/>
      <c r="AM45" s="459">
        <f t="shared" si="15"/>
        <v>187643.50312500002</v>
      </c>
      <c r="AN45" s="459">
        <f t="shared" si="16"/>
        <v>2251722.0375000001</v>
      </c>
      <c r="AO45" s="466"/>
    </row>
    <row r="46" spans="1:41" s="245" customFormat="1" ht="17.25" customHeight="1">
      <c r="A46" s="454">
        <v>28</v>
      </c>
      <c r="B46" s="455" t="s">
        <v>531</v>
      </c>
      <c r="C46" s="455" t="s">
        <v>481</v>
      </c>
      <c r="D46" s="456" t="s">
        <v>37</v>
      </c>
      <c r="E46" s="457" t="s">
        <v>178</v>
      </c>
      <c r="F46" s="457">
        <v>11.11</v>
      </c>
      <c r="G46" s="458">
        <v>4.8600000000000003</v>
      </c>
      <c r="H46" s="459">
        <f t="shared" si="1"/>
        <v>172014.84000000003</v>
      </c>
      <c r="I46" s="460">
        <v>2</v>
      </c>
      <c r="J46" s="454">
        <v>17697</v>
      </c>
      <c r="K46" s="461">
        <f t="shared" si="2"/>
        <v>1.0625</v>
      </c>
      <c r="L46" s="462">
        <v>17</v>
      </c>
      <c r="M46" s="462">
        <f t="shared" si="3"/>
        <v>182765.76750000002</v>
      </c>
      <c r="N46" s="462">
        <v>0</v>
      </c>
      <c r="O46" s="462">
        <f t="shared" si="4"/>
        <v>0</v>
      </c>
      <c r="P46" s="462">
        <v>0</v>
      </c>
      <c r="Q46" s="459">
        <f t="shared" si="5"/>
        <v>0</v>
      </c>
      <c r="R46" s="459">
        <f t="shared" si="6"/>
        <v>45691.441875000004</v>
      </c>
      <c r="S46" s="459">
        <f t="shared" si="7"/>
        <v>228457.20937500003</v>
      </c>
      <c r="T46" s="459">
        <f t="shared" si="8"/>
        <v>22845.720937500006</v>
      </c>
      <c r="U46" s="460">
        <v>1</v>
      </c>
      <c r="V46" s="463">
        <f t="shared" si="17"/>
        <v>8848.5</v>
      </c>
      <c r="W46" s="460"/>
      <c r="X46" s="464">
        <f t="shared" si="18"/>
        <v>0</v>
      </c>
      <c r="Y46" s="454">
        <v>10</v>
      </c>
      <c r="Z46" s="459">
        <f t="shared" si="19"/>
        <v>4424.25</v>
      </c>
      <c r="AA46" s="460"/>
      <c r="AB46" s="459">
        <f t="shared" si="12"/>
        <v>0</v>
      </c>
      <c r="AC46" s="465"/>
      <c r="AD46" s="460"/>
      <c r="AE46" s="459">
        <f t="shared" si="13"/>
        <v>68537.162812500013</v>
      </c>
      <c r="AF46" s="460"/>
      <c r="AG46" s="464">
        <f t="shared" si="14"/>
        <v>0</v>
      </c>
      <c r="AH46" s="454"/>
      <c r="AI46" s="459"/>
      <c r="AJ46" s="459">
        <f>S46*35%</f>
        <v>79960.023281250003</v>
      </c>
      <c r="AK46" s="459"/>
      <c r="AL46" s="460"/>
      <c r="AM46" s="459">
        <f t="shared" si="15"/>
        <v>413072.86640625005</v>
      </c>
      <c r="AN46" s="459">
        <f t="shared" si="16"/>
        <v>4956874.3968750006</v>
      </c>
      <c r="AO46" s="466"/>
    </row>
    <row r="47" spans="1:41" s="245" customFormat="1" ht="17.25" customHeight="1">
      <c r="A47" s="454">
        <v>29</v>
      </c>
      <c r="B47" s="455" t="s">
        <v>532</v>
      </c>
      <c r="C47" s="455" t="s">
        <v>484</v>
      </c>
      <c r="D47" s="456" t="s">
        <v>37</v>
      </c>
      <c r="E47" s="457" t="s">
        <v>178</v>
      </c>
      <c r="F47" s="457">
        <v>25.6</v>
      </c>
      <c r="G47" s="473">
        <v>5.2</v>
      </c>
      <c r="H47" s="459">
        <f t="shared" si="1"/>
        <v>184048.80000000002</v>
      </c>
      <c r="I47" s="460">
        <v>2</v>
      </c>
      <c r="J47" s="454">
        <v>17697</v>
      </c>
      <c r="K47" s="461">
        <f t="shared" si="2"/>
        <v>1.5</v>
      </c>
      <c r="L47" s="462">
        <v>2</v>
      </c>
      <c r="M47" s="462">
        <f t="shared" si="3"/>
        <v>23006.100000000002</v>
      </c>
      <c r="N47" s="462">
        <v>13</v>
      </c>
      <c r="O47" s="462">
        <f t="shared" si="4"/>
        <v>149539.65000000002</v>
      </c>
      <c r="P47" s="462">
        <v>9</v>
      </c>
      <c r="Q47" s="459">
        <f t="shared" si="5"/>
        <v>103527.45000000001</v>
      </c>
      <c r="R47" s="459">
        <f t="shared" si="6"/>
        <v>69018.300000000017</v>
      </c>
      <c r="S47" s="459">
        <f t="shared" si="7"/>
        <v>345091.50000000012</v>
      </c>
      <c r="T47" s="459">
        <f t="shared" si="8"/>
        <v>34509.150000000016</v>
      </c>
      <c r="U47" s="460"/>
      <c r="V47" s="463">
        <f t="shared" si="17"/>
        <v>0</v>
      </c>
      <c r="W47" s="460">
        <v>0.5</v>
      </c>
      <c r="X47" s="464">
        <f t="shared" si="18"/>
        <v>5309.0999999999995</v>
      </c>
      <c r="Y47" s="454"/>
      <c r="Z47" s="459">
        <f t="shared" si="19"/>
        <v>0</v>
      </c>
      <c r="AA47" s="460">
        <v>12</v>
      </c>
      <c r="AB47" s="459">
        <f t="shared" si="12"/>
        <v>6636.375</v>
      </c>
      <c r="AC47" s="465"/>
      <c r="AD47" s="460"/>
      <c r="AE47" s="459">
        <f t="shared" si="13"/>
        <v>103527.45000000003</v>
      </c>
      <c r="AF47" s="460"/>
      <c r="AG47" s="464">
        <f t="shared" si="14"/>
        <v>0</v>
      </c>
      <c r="AH47" s="454"/>
      <c r="AI47" s="459"/>
      <c r="AJ47" s="459">
        <f>S47*35%</f>
        <v>120782.02500000004</v>
      </c>
      <c r="AK47" s="459"/>
      <c r="AL47" s="460"/>
      <c r="AM47" s="459">
        <f t="shared" si="15"/>
        <v>615855.60000000021</v>
      </c>
      <c r="AN47" s="459">
        <f t="shared" si="16"/>
        <v>7390267.200000003</v>
      </c>
      <c r="AO47" s="466"/>
    </row>
    <row r="48" spans="1:41" s="245" customFormat="1" ht="17.25" customHeight="1">
      <c r="A48" s="454">
        <v>30</v>
      </c>
      <c r="B48" s="455" t="s">
        <v>533</v>
      </c>
      <c r="C48" s="455" t="s">
        <v>484</v>
      </c>
      <c r="D48" s="456" t="s">
        <v>37</v>
      </c>
      <c r="E48" s="457" t="s">
        <v>177</v>
      </c>
      <c r="F48" s="457">
        <v>6.11</v>
      </c>
      <c r="G48" s="458">
        <v>4.66</v>
      </c>
      <c r="H48" s="459">
        <f t="shared" si="1"/>
        <v>164936.04</v>
      </c>
      <c r="I48" s="460">
        <v>2</v>
      </c>
      <c r="J48" s="454">
        <v>17697</v>
      </c>
      <c r="K48" s="461">
        <f t="shared" si="2"/>
        <v>1.5</v>
      </c>
      <c r="L48" s="462">
        <v>8</v>
      </c>
      <c r="M48" s="462">
        <f t="shared" si="3"/>
        <v>82468.02</v>
      </c>
      <c r="N48" s="462">
        <v>16</v>
      </c>
      <c r="O48" s="462">
        <f t="shared" si="4"/>
        <v>164936.04</v>
      </c>
      <c r="P48" s="462">
        <v>0</v>
      </c>
      <c r="Q48" s="459">
        <f t="shared" si="5"/>
        <v>0</v>
      </c>
      <c r="R48" s="459">
        <f t="shared" si="6"/>
        <v>61851.014999999999</v>
      </c>
      <c r="S48" s="459">
        <f t="shared" si="7"/>
        <v>309255.07500000001</v>
      </c>
      <c r="T48" s="459">
        <f t="shared" si="8"/>
        <v>30925.507500000003</v>
      </c>
      <c r="U48" s="460"/>
      <c r="V48" s="463">
        <f t="shared" si="17"/>
        <v>0</v>
      </c>
      <c r="W48" s="460"/>
      <c r="X48" s="464">
        <f t="shared" si="18"/>
        <v>0</v>
      </c>
      <c r="Y48" s="454"/>
      <c r="Z48" s="459">
        <f t="shared" si="19"/>
        <v>0</v>
      </c>
      <c r="AA48" s="460">
        <v>13.5</v>
      </c>
      <c r="AB48" s="459">
        <f t="shared" si="12"/>
        <v>7465.921875</v>
      </c>
      <c r="AC48" s="465"/>
      <c r="AD48" s="460"/>
      <c r="AE48" s="459">
        <f t="shared" si="13"/>
        <v>92776.522500000006</v>
      </c>
      <c r="AF48" s="460"/>
      <c r="AG48" s="464">
        <f t="shared" si="14"/>
        <v>0</v>
      </c>
      <c r="AH48" s="454"/>
      <c r="AI48" s="459">
        <f>S48*30%</f>
        <v>92776.522500000006</v>
      </c>
      <c r="AJ48" s="459"/>
      <c r="AK48" s="459"/>
      <c r="AL48" s="460"/>
      <c r="AM48" s="459">
        <f t="shared" si="15"/>
        <v>533199.54937500006</v>
      </c>
      <c r="AN48" s="459">
        <f t="shared" si="16"/>
        <v>6398394.5925000012</v>
      </c>
      <c r="AO48" s="466"/>
    </row>
    <row r="49" spans="1:41" s="245" customFormat="1" ht="17.25" customHeight="1">
      <c r="A49" s="454">
        <v>31</v>
      </c>
      <c r="B49" s="475" t="s">
        <v>535</v>
      </c>
      <c r="C49" s="475" t="s">
        <v>486</v>
      </c>
      <c r="D49" s="456" t="s">
        <v>37</v>
      </c>
      <c r="E49" s="457" t="s">
        <v>178</v>
      </c>
      <c r="F49" s="476">
        <v>34</v>
      </c>
      <c r="G49" s="473">
        <v>5.2</v>
      </c>
      <c r="H49" s="459">
        <f t="shared" si="1"/>
        <v>184048.80000000002</v>
      </c>
      <c r="I49" s="460">
        <v>2</v>
      </c>
      <c r="J49" s="454">
        <v>17697</v>
      </c>
      <c r="K49" s="461">
        <f t="shared" si="2"/>
        <v>1.4375</v>
      </c>
      <c r="L49" s="462">
        <v>0</v>
      </c>
      <c r="M49" s="462">
        <f t="shared" si="3"/>
        <v>0</v>
      </c>
      <c r="N49" s="462">
        <v>14</v>
      </c>
      <c r="O49" s="462">
        <f t="shared" si="4"/>
        <v>161042.70000000001</v>
      </c>
      <c r="P49" s="462">
        <v>9</v>
      </c>
      <c r="Q49" s="459">
        <f t="shared" si="5"/>
        <v>103527.45000000001</v>
      </c>
      <c r="R49" s="459">
        <f t="shared" si="6"/>
        <v>66142.537500000006</v>
      </c>
      <c r="S49" s="459">
        <f t="shared" si="7"/>
        <v>330712.6875</v>
      </c>
      <c r="T49" s="459">
        <f t="shared" si="8"/>
        <v>33071.268750000003</v>
      </c>
      <c r="U49" s="460"/>
      <c r="V49" s="463">
        <f t="shared" si="17"/>
        <v>0</v>
      </c>
      <c r="W49" s="460"/>
      <c r="X49" s="464">
        <f t="shared" si="18"/>
        <v>0</v>
      </c>
      <c r="Y49" s="454">
        <v>23</v>
      </c>
      <c r="Z49" s="459">
        <f t="shared" si="19"/>
        <v>10175.775</v>
      </c>
      <c r="AA49" s="460"/>
      <c r="AB49" s="459">
        <f t="shared" si="12"/>
        <v>0</v>
      </c>
      <c r="AC49" s="468"/>
      <c r="AD49" s="460"/>
      <c r="AE49" s="459">
        <f t="shared" si="13"/>
        <v>99213.806249999994</v>
      </c>
      <c r="AF49" s="460"/>
      <c r="AG49" s="464">
        <f t="shared" si="14"/>
        <v>0</v>
      </c>
      <c r="AH49" s="454">
        <v>3539</v>
      </c>
      <c r="AI49" s="459"/>
      <c r="AJ49" s="459">
        <f>S49*35%</f>
        <v>115749.44062499999</v>
      </c>
      <c r="AK49" s="459"/>
      <c r="AL49" s="460"/>
      <c r="AM49" s="459">
        <f t="shared" si="15"/>
        <v>592461.97812499991</v>
      </c>
      <c r="AN49" s="459">
        <f t="shared" si="16"/>
        <v>7109543.7374999989</v>
      </c>
      <c r="AO49" s="466"/>
    </row>
    <row r="50" spans="1:41" s="245" customFormat="1" ht="17.25" customHeight="1">
      <c r="A50" s="454">
        <v>32</v>
      </c>
      <c r="B50" s="475" t="s">
        <v>539</v>
      </c>
      <c r="C50" s="455" t="s">
        <v>481</v>
      </c>
      <c r="D50" s="456" t="s">
        <v>37</v>
      </c>
      <c r="E50" s="457" t="s">
        <v>178</v>
      </c>
      <c r="F50" s="457">
        <v>10</v>
      </c>
      <c r="G50" s="458">
        <v>4.8600000000000003</v>
      </c>
      <c r="H50" s="459">
        <f t="shared" si="1"/>
        <v>172014.84000000003</v>
      </c>
      <c r="I50" s="460">
        <v>2</v>
      </c>
      <c r="J50" s="454">
        <v>17697</v>
      </c>
      <c r="K50" s="461">
        <f t="shared" si="2"/>
        <v>1.0625</v>
      </c>
      <c r="L50" s="462">
        <v>17</v>
      </c>
      <c r="M50" s="462">
        <f t="shared" si="3"/>
        <v>182765.76750000002</v>
      </c>
      <c r="N50" s="462">
        <v>0</v>
      </c>
      <c r="O50" s="462">
        <f t="shared" si="4"/>
        <v>0</v>
      </c>
      <c r="P50" s="462">
        <v>0</v>
      </c>
      <c r="Q50" s="459">
        <f t="shared" si="5"/>
        <v>0</v>
      </c>
      <c r="R50" s="459">
        <f t="shared" si="6"/>
        <v>45691.441875000004</v>
      </c>
      <c r="S50" s="459">
        <f t="shared" si="7"/>
        <v>228457.20937500003</v>
      </c>
      <c r="T50" s="459">
        <f t="shared" si="8"/>
        <v>22845.720937500006</v>
      </c>
      <c r="U50" s="460">
        <v>1</v>
      </c>
      <c r="V50" s="463">
        <f t="shared" si="17"/>
        <v>8848.5</v>
      </c>
      <c r="W50" s="460"/>
      <c r="X50" s="464">
        <f t="shared" si="18"/>
        <v>0</v>
      </c>
      <c r="Y50" s="454">
        <v>10</v>
      </c>
      <c r="Z50" s="459">
        <f t="shared" si="19"/>
        <v>4424.25</v>
      </c>
      <c r="AA50" s="460"/>
      <c r="AB50" s="459">
        <f t="shared" si="12"/>
        <v>0</v>
      </c>
      <c r="AC50" s="468"/>
      <c r="AD50" s="460"/>
      <c r="AE50" s="459">
        <f t="shared" si="13"/>
        <v>68537.162812500013</v>
      </c>
      <c r="AF50" s="460"/>
      <c r="AG50" s="464">
        <f t="shared" si="14"/>
        <v>0</v>
      </c>
      <c r="AH50" s="454"/>
      <c r="AI50" s="459"/>
      <c r="AJ50" s="459">
        <f>S50*35%</f>
        <v>79960.023281250003</v>
      </c>
      <c r="AK50" s="459"/>
      <c r="AL50" s="460"/>
      <c r="AM50" s="459">
        <f t="shared" si="15"/>
        <v>413072.86640625005</v>
      </c>
      <c r="AN50" s="459">
        <f t="shared" si="16"/>
        <v>4956874.3968750006</v>
      </c>
      <c r="AO50" s="466"/>
    </row>
    <row r="51" spans="1:41" s="245" customFormat="1" ht="17.25" customHeight="1">
      <c r="A51" s="454">
        <v>33</v>
      </c>
      <c r="B51" s="455" t="s">
        <v>534</v>
      </c>
      <c r="C51" s="455" t="s">
        <v>481</v>
      </c>
      <c r="D51" s="456" t="s">
        <v>37</v>
      </c>
      <c r="E51" s="457" t="s">
        <v>174</v>
      </c>
      <c r="F51" s="457">
        <v>22.11</v>
      </c>
      <c r="G51" s="458">
        <v>5.32</v>
      </c>
      <c r="H51" s="459">
        <f t="shared" ref="H51:H82" si="20">G51*I51*J51</f>
        <v>188296.08000000002</v>
      </c>
      <c r="I51" s="460">
        <v>2</v>
      </c>
      <c r="J51" s="454">
        <v>17697</v>
      </c>
      <c r="K51" s="461">
        <f t="shared" ref="K51:K82" si="21">SUM(L51+N51+P51)/16</f>
        <v>0.3125</v>
      </c>
      <c r="L51" s="462">
        <v>5</v>
      </c>
      <c r="M51" s="462">
        <f t="shared" ref="M51:M82" si="22">G51*I51*J51/16*L51</f>
        <v>58842.525000000009</v>
      </c>
      <c r="N51" s="462">
        <v>0</v>
      </c>
      <c r="O51" s="462">
        <f t="shared" ref="O51:O82" si="23">G51*I51*J51/16*N51</f>
        <v>0</v>
      </c>
      <c r="P51" s="462">
        <v>0</v>
      </c>
      <c r="Q51" s="459">
        <f t="shared" ref="Q51:Q82" si="24">G51*I51*J51/16*P51</f>
        <v>0</v>
      </c>
      <c r="R51" s="459">
        <f t="shared" ref="R51:R82" si="25">(M51+O51+Q51)*25%</f>
        <v>14710.631250000002</v>
      </c>
      <c r="S51" s="459">
        <f t="shared" ref="S51:S82" si="26">M51+O51+Q51+R51</f>
        <v>73553.156250000015</v>
      </c>
      <c r="T51" s="459">
        <f t="shared" ref="T51:T82" si="27">S51*0.1</f>
        <v>7355.315625000002</v>
      </c>
      <c r="U51" s="460"/>
      <c r="V51" s="463">
        <f t="shared" si="17"/>
        <v>0</v>
      </c>
      <c r="W51" s="460"/>
      <c r="X51" s="464">
        <f t="shared" si="18"/>
        <v>0</v>
      </c>
      <c r="Y51" s="454"/>
      <c r="Z51" s="459">
        <f t="shared" si="19"/>
        <v>0</v>
      </c>
      <c r="AA51" s="460"/>
      <c r="AB51" s="459">
        <f t="shared" si="12"/>
        <v>0</v>
      </c>
      <c r="AC51" s="465"/>
      <c r="AD51" s="460"/>
      <c r="AE51" s="459">
        <f t="shared" ref="AE51:AE82" si="28">S51*0.3</f>
        <v>22065.946875000005</v>
      </c>
      <c r="AF51" s="460"/>
      <c r="AG51" s="464">
        <f t="shared" si="14"/>
        <v>0</v>
      </c>
      <c r="AH51" s="454"/>
      <c r="AI51" s="459"/>
      <c r="AJ51" s="459"/>
      <c r="AK51" s="459">
        <f>S51*40%</f>
        <v>29421.262500000008</v>
      </c>
      <c r="AL51" s="460"/>
      <c r="AM51" s="459">
        <f t="shared" ref="AM51:AM82" si="29">S51+T51+V51+X51+Z51+AB51+AC51+AD51+AE51+AG51+AH51+AI51+AJ51+AK51+AL51</f>
        <v>132395.68125000002</v>
      </c>
      <c r="AN51" s="459">
        <f t="shared" ref="AN51:AN82" si="30">AM51*12</f>
        <v>1588748.1750000003</v>
      </c>
      <c r="AO51" s="466"/>
    </row>
    <row r="52" spans="1:41" s="245" customFormat="1" ht="17.25" customHeight="1">
      <c r="A52" s="454">
        <v>34</v>
      </c>
      <c r="B52" s="475" t="s">
        <v>537</v>
      </c>
      <c r="C52" s="455" t="s">
        <v>487</v>
      </c>
      <c r="D52" s="456" t="s">
        <v>37</v>
      </c>
      <c r="E52" s="457" t="s">
        <v>178</v>
      </c>
      <c r="F52" s="457">
        <v>23.7</v>
      </c>
      <c r="G52" s="458">
        <v>5.12</v>
      </c>
      <c r="H52" s="459">
        <f t="shared" si="20"/>
        <v>181217.28</v>
      </c>
      <c r="I52" s="460">
        <v>2</v>
      </c>
      <c r="J52" s="454">
        <v>17697</v>
      </c>
      <c r="K52" s="461">
        <f t="shared" si="21"/>
        <v>1.4375</v>
      </c>
      <c r="L52" s="462">
        <v>0</v>
      </c>
      <c r="M52" s="462">
        <f t="shared" si="22"/>
        <v>0</v>
      </c>
      <c r="N52" s="462">
        <v>17</v>
      </c>
      <c r="O52" s="462">
        <f t="shared" si="23"/>
        <v>192543.35999999999</v>
      </c>
      <c r="P52" s="462">
        <v>6</v>
      </c>
      <c r="Q52" s="459">
        <f t="shared" si="24"/>
        <v>67956.479999999996</v>
      </c>
      <c r="R52" s="459">
        <f t="shared" si="25"/>
        <v>65124.959999999992</v>
      </c>
      <c r="S52" s="459">
        <f t="shared" si="26"/>
        <v>325624.79999999993</v>
      </c>
      <c r="T52" s="459">
        <f t="shared" si="27"/>
        <v>32562.479999999996</v>
      </c>
      <c r="U52" s="460"/>
      <c r="V52" s="463">
        <f t="shared" si="17"/>
        <v>0</v>
      </c>
      <c r="W52" s="460"/>
      <c r="X52" s="464">
        <f t="shared" si="18"/>
        <v>0</v>
      </c>
      <c r="Y52" s="454">
        <v>21</v>
      </c>
      <c r="Z52" s="459">
        <f t="shared" si="19"/>
        <v>9290.9250000000011</v>
      </c>
      <c r="AA52" s="460"/>
      <c r="AB52" s="459">
        <f t="shared" si="12"/>
        <v>0</v>
      </c>
      <c r="AC52" s="468"/>
      <c r="AD52" s="460"/>
      <c r="AE52" s="459">
        <f t="shared" si="28"/>
        <v>97687.439999999973</v>
      </c>
      <c r="AF52" s="460"/>
      <c r="AG52" s="464">
        <f t="shared" si="14"/>
        <v>0</v>
      </c>
      <c r="AH52" s="454"/>
      <c r="AI52" s="459"/>
      <c r="AJ52" s="459">
        <f>S52*35%</f>
        <v>113968.67999999996</v>
      </c>
      <c r="AK52" s="459"/>
      <c r="AL52" s="460"/>
      <c r="AM52" s="459">
        <f t="shared" si="29"/>
        <v>579134.32499999984</v>
      </c>
      <c r="AN52" s="459">
        <f t="shared" si="30"/>
        <v>6949611.8999999985</v>
      </c>
      <c r="AO52" s="466"/>
    </row>
    <row r="53" spans="1:41" s="245" customFormat="1" ht="17.25" customHeight="1">
      <c r="A53" s="454">
        <v>35</v>
      </c>
      <c r="B53" s="455" t="s">
        <v>538</v>
      </c>
      <c r="C53" s="455" t="s">
        <v>574</v>
      </c>
      <c r="D53" s="456" t="s">
        <v>37</v>
      </c>
      <c r="E53" s="457" t="s">
        <v>178</v>
      </c>
      <c r="F53" s="457">
        <v>26.7</v>
      </c>
      <c r="G53" s="473">
        <v>5.2</v>
      </c>
      <c r="H53" s="459">
        <f t="shared" si="20"/>
        <v>184048.80000000002</v>
      </c>
      <c r="I53" s="460">
        <v>2</v>
      </c>
      <c r="J53" s="454">
        <v>17697</v>
      </c>
      <c r="K53" s="461">
        <f t="shared" si="21"/>
        <v>1.1875</v>
      </c>
      <c r="L53" s="462">
        <v>4</v>
      </c>
      <c r="M53" s="462">
        <f t="shared" si="22"/>
        <v>46012.200000000004</v>
      </c>
      <c r="N53" s="462">
        <v>15</v>
      </c>
      <c r="O53" s="462">
        <f t="shared" si="23"/>
        <v>172545.75000000003</v>
      </c>
      <c r="P53" s="462">
        <v>0</v>
      </c>
      <c r="Q53" s="459">
        <f t="shared" si="24"/>
        <v>0</v>
      </c>
      <c r="R53" s="459">
        <f t="shared" si="25"/>
        <v>54639.48750000001</v>
      </c>
      <c r="S53" s="459">
        <f t="shared" si="26"/>
        <v>273197.43750000006</v>
      </c>
      <c r="T53" s="459">
        <f t="shared" si="27"/>
        <v>27319.743750000009</v>
      </c>
      <c r="U53" s="460"/>
      <c r="V53" s="463">
        <f t="shared" si="17"/>
        <v>0</v>
      </c>
      <c r="W53" s="460">
        <v>1</v>
      </c>
      <c r="X53" s="464">
        <f t="shared" si="18"/>
        <v>10618.199999999999</v>
      </c>
      <c r="Y53" s="454"/>
      <c r="Z53" s="459">
        <f t="shared" si="19"/>
        <v>0</v>
      </c>
      <c r="AA53" s="460">
        <v>6</v>
      </c>
      <c r="AB53" s="459">
        <f t="shared" si="12"/>
        <v>3318.1875</v>
      </c>
      <c r="AC53" s="477">
        <v>36920</v>
      </c>
      <c r="AD53" s="460"/>
      <c r="AE53" s="459">
        <f t="shared" si="28"/>
        <v>81959.231250000012</v>
      </c>
      <c r="AF53" s="460"/>
      <c r="AG53" s="464">
        <f t="shared" si="14"/>
        <v>0</v>
      </c>
      <c r="AH53" s="454"/>
      <c r="AI53" s="459"/>
      <c r="AJ53" s="459">
        <f>S53*35%</f>
        <v>95619.103125000009</v>
      </c>
      <c r="AK53" s="459"/>
      <c r="AL53" s="460"/>
      <c r="AM53" s="459">
        <f t="shared" si="29"/>
        <v>528951.90312500007</v>
      </c>
      <c r="AN53" s="459">
        <f t="shared" si="30"/>
        <v>6347422.8375000004</v>
      </c>
      <c r="AO53" s="466"/>
    </row>
    <row r="54" spans="1:41" s="245" customFormat="1" ht="17.25" customHeight="1">
      <c r="A54" s="454">
        <v>36</v>
      </c>
      <c r="B54" s="455" t="s">
        <v>540</v>
      </c>
      <c r="C54" s="455" t="s">
        <v>485</v>
      </c>
      <c r="D54" s="456" t="s">
        <v>37</v>
      </c>
      <c r="E54" s="457" t="s">
        <v>177</v>
      </c>
      <c r="F54" s="457">
        <v>6.8</v>
      </c>
      <c r="G54" s="458">
        <v>4.66</v>
      </c>
      <c r="H54" s="459">
        <f t="shared" si="20"/>
        <v>164936.04</v>
      </c>
      <c r="I54" s="460">
        <v>2</v>
      </c>
      <c r="J54" s="454">
        <v>17697</v>
      </c>
      <c r="K54" s="461">
        <f t="shared" si="21"/>
        <v>1.375</v>
      </c>
      <c r="L54" s="462">
        <v>0</v>
      </c>
      <c r="M54" s="462">
        <f t="shared" si="22"/>
        <v>0</v>
      </c>
      <c r="N54" s="462">
        <v>19</v>
      </c>
      <c r="O54" s="462">
        <f t="shared" si="23"/>
        <v>195861.54750000002</v>
      </c>
      <c r="P54" s="462">
        <v>3</v>
      </c>
      <c r="Q54" s="459">
        <f t="shared" si="24"/>
        <v>30925.5075</v>
      </c>
      <c r="R54" s="459">
        <f t="shared" si="25"/>
        <v>56696.763750000006</v>
      </c>
      <c r="S54" s="459">
        <f t="shared" si="26"/>
        <v>283483.81875000003</v>
      </c>
      <c r="T54" s="459">
        <f t="shared" si="27"/>
        <v>28348.381875000006</v>
      </c>
      <c r="U54" s="460"/>
      <c r="V54" s="463">
        <f t="shared" si="17"/>
        <v>0</v>
      </c>
      <c r="W54" s="460">
        <v>1</v>
      </c>
      <c r="X54" s="464">
        <f t="shared" si="18"/>
        <v>10618.199999999999</v>
      </c>
      <c r="Y54" s="454"/>
      <c r="Z54" s="459">
        <f t="shared" si="19"/>
        <v>0</v>
      </c>
      <c r="AA54" s="460"/>
      <c r="AB54" s="459">
        <f t="shared" si="12"/>
        <v>0</v>
      </c>
      <c r="AC54" s="477"/>
      <c r="AD54" s="460"/>
      <c r="AE54" s="459">
        <f t="shared" si="28"/>
        <v>85045.145625000005</v>
      </c>
      <c r="AF54" s="460"/>
      <c r="AG54" s="464">
        <f t="shared" si="14"/>
        <v>0</v>
      </c>
      <c r="AH54" s="454"/>
      <c r="AI54" s="459">
        <f>S54*30%</f>
        <v>85045.145625000005</v>
      </c>
      <c r="AJ54" s="459"/>
      <c r="AK54" s="459"/>
      <c r="AL54" s="460"/>
      <c r="AM54" s="459">
        <f t="shared" si="29"/>
        <v>492540.69187500008</v>
      </c>
      <c r="AN54" s="459">
        <f t="shared" si="30"/>
        <v>5910488.3025000012</v>
      </c>
      <c r="AO54" s="466"/>
    </row>
    <row r="55" spans="1:41" s="245" customFormat="1" ht="17.25" customHeight="1">
      <c r="A55" s="454">
        <v>37</v>
      </c>
      <c r="B55" s="455" t="s">
        <v>541</v>
      </c>
      <c r="C55" s="455" t="s">
        <v>573</v>
      </c>
      <c r="D55" s="456" t="s">
        <v>37</v>
      </c>
      <c r="E55" s="457" t="s">
        <v>178</v>
      </c>
      <c r="F55" s="457">
        <v>24.11</v>
      </c>
      <c r="G55" s="458">
        <v>5.12</v>
      </c>
      <c r="H55" s="459">
        <f t="shared" si="20"/>
        <v>181217.28</v>
      </c>
      <c r="I55" s="460">
        <v>2</v>
      </c>
      <c r="J55" s="454">
        <v>17697</v>
      </c>
      <c r="K55" s="461">
        <f t="shared" si="21"/>
        <v>1</v>
      </c>
      <c r="L55" s="462"/>
      <c r="M55" s="462">
        <f t="shared" si="22"/>
        <v>0</v>
      </c>
      <c r="N55" s="462">
        <v>12</v>
      </c>
      <c r="O55" s="462">
        <f t="shared" si="23"/>
        <v>135912.95999999999</v>
      </c>
      <c r="P55" s="462">
        <v>4</v>
      </c>
      <c r="Q55" s="459">
        <f t="shared" si="24"/>
        <v>45304.32</v>
      </c>
      <c r="R55" s="459">
        <f t="shared" si="25"/>
        <v>45304.32</v>
      </c>
      <c r="S55" s="459">
        <f t="shared" si="26"/>
        <v>226521.60000000001</v>
      </c>
      <c r="T55" s="459">
        <f t="shared" si="27"/>
        <v>22652.160000000003</v>
      </c>
      <c r="U55" s="460"/>
      <c r="V55" s="463">
        <f t="shared" si="17"/>
        <v>0</v>
      </c>
      <c r="W55" s="460"/>
      <c r="X55" s="464">
        <f t="shared" si="18"/>
        <v>0</v>
      </c>
      <c r="Y55" s="454"/>
      <c r="Z55" s="459">
        <f t="shared" si="19"/>
        <v>0</v>
      </c>
      <c r="AA55" s="460"/>
      <c r="AB55" s="459">
        <f t="shared" si="12"/>
        <v>0</v>
      </c>
      <c r="AC55" s="477"/>
      <c r="AD55" s="460"/>
      <c r="AE55" s="459">
        <f t="shared" si="28"/>
        <v>67956.479999999996</v>
      </c>
      <c r="AF55" s="460"/>
      <c r="AG55" s="464">
        <f t="shared" si="14"/>
        <v>0</v>
      </c>
      <c r="AH55" s="454"/>
      <c r="AI55" s="459"/>
      <c r="AJ55" s="459">
        <f>S55*35%</f>
        <v>79282.559999999998</v>
      </c>
      <c r="AK55" s="459"/>
      <c r="AL55" s="460"/>
      <c r="AM55" s="459">
        <f t="shared" si="29"/>
        <v>396412.8</v>
      </c>
      <c r="AN55" s="459">
        <f t="shared" si="30"/>
        <v>4756953.5999999996</v>
      </c>
      <c r="AO55" s="466"/>
    </row>
    <row r="56" spans="1:41" s="245" customFormat="1" ht="17.25" customHeight="1">
      <c r="A56" s="454">
        <v>38</v>
      </c>
      <c r="B56" s="455" t="s">
        <v>542</v>
      </c>
      <c r="C56" s="455" t="s">
        <v>482</v>
      </c>
      <c r="D56" s="456" t="s">
        <v>37</v>
      </c>
      <c r="E56" s="457" t="s">
        <v>178</v>
      </c>
      <c r="F56" s="458">
        <v>25.1</v>
      </c>
      <c r="G56" s="473">
        <v>5.2</v>
      </c>
      <c r="H56" s="459">
        <f t="shared" si="20"/>
        <v>184048.80000000002</v>
      </c>
      <c r="I56" s="460">
        <v>2</v>
      </c>
      <c r="J56" s="454">
        <v>17697</v>
      </c>
      <c r="K56" s="461">
        <f t="shared" si="21"/>
        <v>1.1875</v>
      </c>
      <c r="L56" s="462">
        <v>0</v>
      </c>
      <c r="M56" s="462">
        <f t="shared" si="22"/>
        <v>0</v>
      </c>
      <c r="N56" s="462">
        <v>16</v>
      </c>
      <c r="O56" s="462">
        <f t="shared" si="23"/>
        <v>184048.80000000002</v>
      </c>
      <c r="P56" s="462">
        <v>3</v>
      </c>
      <c r="Q56" s="459">
        <f t="shared" si="24"/>
        <v>34509.15</v>
      </c>
      <c r="R56" s="459">
        <f t="shared" si="25"/>
        <v>54639.487500000003</v>
      </c>
      <c r="S56" s="459">
        <f t="shared" si="26"/>
        <v>273197.4375</v>
      </c>
      <c r="T56" s="459">
        <f t="shared" si="27"/>
        <v>27319.743750000001</v>
      </c>
      <c r="U56" s="460"/>
      <c r="V56" s="463">
        <f t="shared" si="17"/>
        <v>0</v>
      </c>
      <c r="W56" s="460"/>
      <c r="X56" s="464">
        <f t="shared" si="18"/>
        <v>0</v>
      </c>
      <c r="Y56" s="454">
        <v>16</v>
      </c>
      <c r="Z56" s="459">
        <f t="shared" si="19"/>
        <v>7078.8</v>
      </c>
      <c r="AA56" s="460"/>
      <c r="AB56" s="459">
        <f t="shared" si="12"/>
        <v>0</v>
      </c>
      <c r="AC56" s="477"/>
      <c r="AD56" s="460">
        <v>17697</v>
      </c>
      <c r="AE56" s="459">
        <f t="shared" si="28"/>
        <v>81959.231249999997</v>
      </c>
      <c r="AF56" s="460"/>
      <c r="AG56" s="464">
        <f t="shared" si="14"/>
        <v>0</v>
      </c>
      <c r="AH56" s="454">
        <v>3539</v>
      </c>
      <c r="AI56" s="459"/>
      <c r="AJ56" s="459">
        <f>S56*35%</f>
        <v>95619.103124999994</v>
      </c>
      <c r="AK56" s="459"/>
      <c r="AL56" s="460"/>
      <c r="AM56" s="459">
        <f t="shared" si="29"/>
        <v>506410.31562500005</v>
      </c>
      <c r="AN56" s="459">
        <f t="shared" si="30"/>
        <v>6076923.7875000006</v>
      </c>
      <c r="AO56" s="466"/>
    </row>
    <row r="57" spans="1:41" s="245" customFormat="1" ht="17.25" customHeight="1">
      <c r="A57" s="454">
        <v>39</v>
      </c>
      <c r="B57" s="455" t="s">
        <v>660</v>
      </c>
      <c r="C57" s="455" t="s">
        <v>661</v>
      </c>
      <c r="D57" s="456" t="s">
        <v>37</v>
      </c>
      <c r="E57" s="457" t="s">
        <v>181</v>
      </c>
      <c r="F57" s="457">
        <v>13.11</v>
      </c>
      <c r="G57" s="473">
        <v>4.9000000000000004</v>
      </c>
      <c r="H57" s="459">
        <f t="shared" si="20"/>
        <v>173430.6</v>
      </c>
      <c r="I57" s="460">
        <v>2</v>
      </c>
      <c r="J57" s="454">
        <v>17697</v>
      </c>
      <c r="K57" s="461">
        <f t="shared" si="21"/>
        <v>0.125</v>
      </c>
      <c r="L57" s="462">
        <v>0</v>
      </c>
      <c r="M57" s="462">
        <f t="shared" si="22"/>
        <v>0</v>
      </c>
      <c r="N57" s="462">
        <v>2</v>
      </c>
      <c r="O57" s="462">
        <f t="shared" si="23"/>
        <v>21678.825000000001</v>
      </c>
      <c r="P57" s="462">
        <v>0</v>
      </c>
      <c r="Q57" s="459">
        <f t="shared" si="24"/>
        <v>0</v>
      </c>
      <c r="R57" s="459">
        <f t="shared" si="25"/>
        <v>5419.7062500000002</v>
      </c>
      <c r="S57" s="459">
        <f t="shared" si="26"/>
        <v>27098.53125</v>
      </c>
      <c r="T57" s="459">
        <f t="shared" si="27"/>
        <v>2709.8531250000001</v>
      </c>
      <c r="U57" s="460"/>
      <c r="V57" s="463"/>
      <c r="W57" s="460"/>
      <c r="X57" s="464"/>
      <c r="Y57" s="454"/>
      <c r="Z57" s="459"/>
      <c r="AA57" s="460"/>
      <c r="AB57" s="459"/>
      <c r="AC57" s="477"/>
      <c r="AD57" s="460"/>
      <c r="AE57" s="459">
        <f t="shared" si="28"/>
        <v>8129.5593749999998</v>
      </c>
      <c r="AF57" s="460"/>
      <c r="AG57" s="464">
        <v>0</v>
      </c>
      <c r="AH57" s="454"/>
      <c r="AI57" s="459"/>
      <c r="AJ57" s="459"/>
      <c r="AK57" s="459"/>
      <c r="AL57" s="460"/>
      <c r="AM57" s="459">
        <f t="shared" si="29"/>
        <v>37937.943749999999</v>
      </c>
      <c r="AN57" s="459">
        <f t="shared" si="30"/>
        <v>455255.32499999995</v>
      </c>
      <c r="AO57" s="466"/>
    </row>
    <row r="58" spans="1:41" s="245" customFormat="1" ht="17.25" customHeight="1">
      <c r="A58" s="454">
        <v>40</v>
      </c>
      <c r="B58" s="455" t="s">
        <v>543</v>
      </c>
      <c r="C58" s="455" t="s">
        <v>574</v>
      </c>
      <c r="D58" s="456" t="s">
        <v>37</v>
      </c>
      <c r="E58" s="457" t="s">
        <v>177</v>
      </c>
      <c r="F58" s="473">
        <v>11.6</v>
      </c>
      <c r="G58" s="458">
        <v>4.8099999999999996</v>
      </c>
      <c r="H58" s="459">
        <f t="shared" si="20"/>
        <v>170245.13999999998</v>
      </c>
      <c r="I58" s="460">
        <v>2</v>
      </c>
      <c r="J58" s="454">
        <v>17697</v>
      </c>
      <c r="K58" s="461">
        <f t="shared" si="21"/>
        <v>1.1875</v>
      </c>
      <c r="L58" s="462">
        <v>0</v>
      </c>
      <c r="M58" s="462">
        <f t="shared" si="22"/>
        <v>0</v>
      </c>
      <c r="N58" s="462">
        <v>19</v>
      </c>
      <c r="O58" s="462">
        <f t="shared" si="23"/>
        <v>202166.10374999998</v>
      </c>
      <c r="P58" s="462">
        <v>0</v>
      </c>
      <c r="Q58" s="459">
        <f t="shared" si="24"/>
        <v>0</v>
      </c>
      <c r="R58" s="459">
        <f t="shared" si="25"/>
        <v>50541.525937499995</v>
      </c>
      <c r="S58" s="459">
        <f t="shared" si="26"/>
        <v>252707.62968749998</v>
      </c>
      <c r="T58" s="459">
        <f t="shared" si="27"/>
        <v>25270.762968750001</v>
      </c>
      <c r="U58" s="460"/>
      <c r="V58" s="463">
        <f t="shared" ref="V58:V92" si="31">17697*50%*U58</f>
        <v>0</v>
      </c>
      <c r="W58" s="460">
        <v>1</v>
      </c>
      <c r="X58" s="464">
        <f t="shared" ref="X58:X92" si="32">17697*60%*W58</f>
        <v>10618.199999999999</v>
      </c>
      <c r="Y58" s="454"/>
      <c r="Z58" s="459">
        <f t="shared" ref="Z58:Z92" si="33">17697*40%/16*Y58</f>
        <v>0</v>
      </c>
      <c r="AA58" s="460">
        <v>9</v>
      </c>
      <c r="AB58" s="459">
        <f t="shared" ref="AB58:AB92" si="34">17697*50%/16*AA58</f>
        <v>4977.28125</v>
      </c>
      <c r="AC58" s="477"/>
      <c r="AD58" s="460"/>
      <c r="AE58" s="459">
        <f t="shared" si="28"/>
        <v>75812.288906249989</v>
      </c>
      <c r="AF58" s="460"/>
      <c r="AG58" s="464">
        <f t="shared" ref="AG58:AG92" si="35">17697*40%/16*AF58</f>
        <v>0</v>
      </c>
      <c r="AH58" s="454"/>
      <c r="AI58" s="459">
        <f>S58*30%</f>
        <v>75812.288906249989</v>
      </c>
      <c r="AJ58" s="459"/>
      <c r="AK58" s="459"/>
      <c r="AL58" s="460"/>
      <c r="AM58" s="459">
        <f t="shared" si="29"/>
        <v>445198.45171874994</v>
      </c>
      <c r="AN58" s="459">
        <f t="shared" si="30"/>
        <v>5342381.4206249993</v>
      </c>
      <c r="AO58" s="466"/>
    </row>
    <row r="59" spans="1:41" s="245" customFormat="1" ht="17.25" customHeight="1">
      <c r="A59" s="454">
        <v>41</v>
      </c>
      <c r="B59" s="455" t="s">
        <v>545</v>
      </c>
      <c r="C59" s="455" t="s">
        <v>481</v>
      </c>
      <c r="D59" s="456" t="s">
        <v>37</v>
      </c>
      <c r="E59" s="457" t="s">
        <v>174</v>
      </c>
      <c r="F59" s="458">
        <v>13.1</v>
      </c>
      <c r="G59" s="458">
        <v>5.16</v>
      </c>
      <c r="H59" s="459">
        <f t="shared" si="20"/>
        <v>182633.04</v>
      </c>
      <c r="I59" s="460">
        <v>2</v>
      </c>
      <c r="J59" s="454">
        <v>17697</v>
      </c>
      <c r="K59" s="461">
        <f t="shared" si="21"/>
        <v>1.0625</v>
      </c>
      <c r="L59" s="462">
        <v>17</v>
      </c>
      <c r="M59" s="462">
        <f t="shared" si="22"/>
        <v>194047.60500000001</v>
      </c>
      <c r="N59" s="462">
        <v>0</v>
      </c>
      <c r="O59" s="462">
        <f t="shared" si="23"/>
        <v>0</v>
      </c>
      <c r="P59" s="462">
        <v>0</v>
      </c>
      <c r="Q59" s="459">
        <f t="shared" si="24"/>
        <v>0</v>
      </c>
      <c r="R59" s="459">
        <f t="shared" si="25"/>
        <v>48511.901250000003</v>
      </c>
      <c r="S59" s="459">
        <f t="shared" si="26"/>
        <v>242559.50625000001</v>
      </c>
      <c r="T59" s="459">
        <f t="shared" si="27"/>
        <v>24255.950625000001</v>
      </c>
      <c r="U59" s="460">
        <v>1</v>
      </c>
      <c r="V59" s="463">
        <f t="shared" si="31"/>
        <v>8848.5</v>
      </c>
      <c r="W59" s="460"/>
      <c r="X59" s="464">
        <f t="shared" si="32"/>
        <v>0</v>
      </c>
      <c r="Y59" s="454">
        <v>9</v>
      </c>
      <c r="Z59" s="459">
        <f t="shared" si="33"/>
        <v>3981.8250000000003</v>
      </c>
      <c r="AA59" s="460"/>
      <c r="AB59" s="459">
        <f t="shared" si="34"/>
        <v>0</v>
      </c>
      <c r="AC59" s="477"/>
      <c r="AD59" s="460"/>
      <c r="AE59" s="459">
        <f t="shared" si="28"/>
        <v>72767.851874999993</v>
      </c>
      <c r="AF59" s="460"/>
      <c r="AG59" s="464">
        <f t="shared" si="35"/>
        <v>0</v>
      </c>
      <c r="AH59" s="454"/>
      <c r="AI59" s="459"/>
      <c r="AJ59" s="459"/>
      <c r="AK59" s="459">
        <f>S59*40%</f>
        <v>97023.802500000005</v>
      </c>
      <c r="AL59" s="460"/>
      <c r="AM59" s="459">
        <f t="shared" si="29"/>
        <v>449437.43625000003</v>
      </c>
      <c r="AN59" s="459">
        <f t="shared" si="30"/>
        <v>5393249.2350000003</v>
      </c>
      <c r="AO59" s="466"/>
    </row>
    <row r="60" spans="1:41" s="245" customFormat="1" ht="17.25" customHeight="1">
      <c r="A60" s="454">
        <v>42</v>
      </c>
      <c r="B60" s="455" t="s">
        <v>544</v>
      </c>
      <c r="C60" s="455" t="s">
        <v>480</v>
      </c>
      <c r="D60" s="456" t="s">
        <v>37</v>
      </c>
      <c r="E60" s="457" t="s">
        <v>178</v>
      </c>
      <c r="F60" s="458">
        <v>11.1</v>
      </c>
      <c r="G60" s="458">
        <v>4.8600000000000003</v>
      </c>
      <c r="H60" s="459">
        <f t="shared" si="20"/>
        <v>172014.84000000003</v>
      </c>
      <c r="I60" s="460">
        <v>2</v>
      </c>
      <c r="J60" s="454">
        <v>17697</v>
      </c>
      <c r="K60" s="461">
        <f t="shared" si="21"/>
        <v>1.5625</v>
      </c>
      <c r="L60" s="462">
        <v>4</v>
      </c>
      <c r="M60" s="462">
        <f t="shared" si="22"/>
        <v>43003.710000000006</v>
      </c>
      <c r="N60" s="462">
        <v>12</v>
      </c>
      <c r="O60" s="462">
        <f t="shared" si="23"/>
        <v>129011.13000000002</v>
      </c>
      <c r="P60" s="462">
        <v>9</v>
      </c>
      <c r="Q60" s="459">
        <f t="shared" si="24"/>
        <v>96758.347500000018</v>
      </c>
      <c r="R60" s="459">
        <f t="shared" si="25"/>
        <v>67193.296875000015</v>
      </c>
      <c r="S60" s="459">
        <f t="shared" si="26"/>
        <v>335966.48437500006</v>
      </c>
      <c r="T60" s="459">
        <f t="shared" si="27"/>
        <v>33596.648437500007</v>
      </c>
      <c r="U60" s="460"/>
      <c r="V60" s="463">
        <f t="shared" si="31"/>
        <v>0</v>
      </c>
      <c r="W60" s="460">
        <v>0.5</v>
      </c>
      <c r="X60" s="464">
        <f t="shared" si="32"/>
        <v>5309.0999999999995</v>
      </c>
      <c r="Y60" s="454">
        <v>17.5</v>
      </c>
      <c r="Z60" s="459">
        <f t="shared" si="33"/>
        <v>7742.4375</v>
      </c>
      <c r="AA60" s="460"/>
      <c r="AB60" s="459">
        <f t="shared" si="34"/>
        <v>0</v>
      </c>
      <c r="AC60" s="477"/>
      <c r="AD60" s="460"/>
      <c r="AE60" s="459">
        <f t="shared" si="28"/>
        <v>100789.94531250001</v>
      </c>
      <c r="AF60" s="460"/>
      <c r="AG60" s="464">
        <f t="shared" si="35"/>
        <v>0</v>
      </c>
      <c r="AH60" s="454"/>
      <c r="AI60" s="459"/>
      <c r="AJ60" s="459">
        <f>S60*35%</f>
        <v>117588.26953125001</v>
      </c>
      <c r="AK60" s="459"/>
      <c r="AL60" s="460"/>
      <c r="AM60" s="459">
        <f t="shared" si="29"/>
        <v>600992.88515625009</v>
      </c>
      <c r="AN60" s="459">
        <f t="shared" si="30"/>
        <v>7211914.6218750011</v>
      </c>
      <c r="AO60" s="466"/>
    </row>
    <row r="61" spans="1:41" s="245" customFormat="1" ht="17.25" customHeight="1">
      <c r="A61" s="454">
        <v>43</v>
      </c>
      <c r="B61" s="455" t="s">
        <v>567</v>
      </c>
      <c r="C61" s="455" t="s">
        <v>483</v>
      </c>
      <c r="D61" s="456" t="s">
        <v>37</v>
      </c>
      <c r="E61" s="457" t="s">
        <v>494</v>
      </c>
      <c r="F61" s="473">
        <v>5.2</v>
      </c>
      <c r="G61" s="458">
        <v>4.2699999999999996</v>
      </c>
      <c r="H61" s="459">
        <f t="shared" si="20"/>
        <v>151132.37999999998</v>
      </c>
      <c r="I61" s="460">
        <v>2</v>
      </c>
      <c r="J61" s="454">
        <v>17697</v>
      </c>
      <c r="K61" s="461">
        <f t="shared" si="21"/>
        <v>0.375</v>
      </c>
      <c r="L61" s="462">
        <v>0</v>
      </c>
      <c r="M61" s="462">
        <f t="shared" si="22"/>
        <v>0</v>
      </c>
      <c r="N61" s="462">
        <v>6</v>
      </c>
      <c r="O61" s="462">
        <f t="shared" si="23"/>
        <v>56674.642499999987</v>
      </c>
      <c r="P61" s="462">
        <v>0</v>
      </c>
      <c r="Q61" s="459">
        <f t="shared" si="24"/>
        <v>0</v>
      </c>
      <c r="R61" s="459">
        <f t="shared" si="25"/>
        <v>14168.660624999997</v>
      </c>
      <c r="S61" s="459">
        <f t="shared" si="26"/>
        <v>70843.303124999977</v>
      </c>
      <c r="T61" s="459">
        <f t="shared" si="27"/>
        <v>7084.3303124999984</v>
      </c>
      <c r="U61" s="460"/>
      <c r="V61" s="463">
        <f t="shared" si="31"/>
        <v>0</v>
      </c>
      <c r="W61" s="460"/>
      <c r="X61" s="464">
        <f t="shared" si="32"/>
        <v>0</v>
      </c>
      <c r="Y61" s="454"/>
      <c r="Z61" s="459">
        <f t="shared" si="33"/>
        <v>0</v>
      </c>
      <c r="AA61" s="460"/>
      <c r="AB61" s="459">
        <f t="shared" si="34"/>
        <v>0</v>
      </c>
      <c r="AC61" s="477"/>
      <c r="AD61" s="460"/>
      <c r="AE61" s="459">
        <f t="shared" si="28"/>
        <v>21252.990937499992</v>
      </c>
      <c r="AF61" s="460"/>
      <c r="AG61" s="464">
        <f t="shared" si="35"/>
        <v>0</v>
      </c>
      <c r="AH61" s="454"/>
      <c r="AI61" s="459"/>
      <c r="AJ61" s="459"/>
      <c r="AK61" s="459"/>
      <c r="AL61" s="460"/>
      <c r="AM61" s="459">
        <f t="shared" si="29"/>
        <v>99180.624374999956</v>
      </c>
      <c r="AN61" s="459">
        <f t="shared" si="30"/>
        <v>1190167.4924999995</v>
      </c>
      <c r="AO61" s="466"/>
    </row>
    <row r="62" spans="1:41" s="245" customFormat="1" ht="17.25" customHeight="1">
      <c r="A62" s="454">
        <v>44</v>
      </c>
      <c r="B62" s="455" t="s">
        <v>547</v>
      </c>
      <c r="C62" s="455" t="s">
        <v>487</v>
      </c>
      <c r="D62" s="456" t="s">
        <v>37</v>
      </c>
      <c r="E62" s="457" t="s">
        <v>178</v>
      </c>
      <c r="F62" s="457">
        <v>35.6</v>
      </c>
      <c r="G62" s="473">
        <v>5.2</v>
      </c>
      <c r="H62" s="459">
        <f t="shared" si="20"/>
        <v>184048.80000000002</v>
      </c>
      <c r="I62" s="460">
        <v>2</v>
      </c>
      <c r="J62" s="454">
        <v>17697</v>
      </c>
      <c r="K62" s="461">
        <f t="shared" si="21"/>
        <v>1.5</v>
      </c>
      <c r="L62" s="462">
        <v>0</v>
      </c>
      <c r="M62" s="462">
        <f t="shared" si="22"/>
        <v>0</v>
      </c>
      <c r="N62" s="462">
        <v>18</v>
      </c>
      <c r="O62" s="462">
        <f t="shared" si="23"/>
        <v>207054.90000000002</v>
      </c>
      <c r="P62" s="462">
        <v>6</v>
      </c>
      <c r="Q62" s="459">
        <f t="shared" si="24"/>
        <v>69018.3</v>
      </c>
      <c r="R62" s="459">
        <f t="shared" si="25"/>
        <v>69018.3</v>
      </c>
      <c r="S62" s="459">
        <f t="shared" si="26"/>
        <v>345091.5</v>
      </c>
      <c r="T62" s="459">
        <f t="shared" si="27"/>
        <v>34509.15</v>
      </c>
      <c r="U62" s="460"/>
      <c r="V62" s="463">
        <f t="shared" si="31"/>
        <v>0</v>
      </c>
      <c r="W62" s="460">
        <v>0.5</v>
      </c>
      <c r="X62" s="464">
        <f t="shared" si="32"/>
        <v>5309.0999999999995</v>
      </c>
      <c r="Y62" s="454">
        <v>21</v>
      </c>
      <c r="Z62" s="459">
        <f t="shared" si="33"/>
        <v>9290.9250000000011</v>
      </c>
      <c r="AA62" s="460"/>
      <c r="AB62" s="459">
        <f t="shared" si="34"/>
        <v>0</v>
      </c>
      <c r="AC62" s="477"/>
      <c r="AD62" s="460"/>
      <c r="AE62" s="459">
        <f t="shared" si="28"/>
        <v>103527.45</v>
      </c>
      <c r="AF62" s="460"/>
      <c r="AG62" s="464">
        <f t="shared" si="35"/>
        <v>0</v>
      </c>
      <c r="AH62" s="454"/>
      <c r="AI62" s="459"/>
      <c r="AJ62" s="459">
        <f>S62*35%</f>
        <v>120782.02499999999</v>
      </c>
      <c r="AK62" s="459"/>
      <c r="AL62" s="460"/>
      <c r="AM62" s="459">
        <f t="shared" si="29"/>
        <v>618510.15</v>
      </c>
      <c r="AN62" s="459">
        <f t="shared" si="30"/>
        <v>7422121.8000000007</v>
      </c>
      <c r="AO62" s="466"/>
    </row>
    <row r="63" spans="1:41" s="245" customFormat="1" ht="17.25" customHeight="1">
      <c r="A63" s="454">
        <v>45</v>
      </c>
      <c r="B63" s="455" t="s">
        <v>663</v>
      </c>
      <c r="C63" s="455" t="s">
        <v>480</v>
      </c>
      <c r="D63" s="456" t="s">
        <v>37</v>
      </c>
      <c r="E63" s="457" t="s">
        <v>175</v>
      </c>
      <c r="F63" s="457">
        <v>5.1100000000000003</v>
      </c>
      <c r="G63" s="458">
        <v>4.2699999999999996</v>
      </c>
      <c r="H63" s="459">
        <f t="shared" si="20"/>
        <v>151132.37999999998</v>
      </c>
      <c r="I63" s="460">
        <v>2</v>
      </c>
      <c r="J63" s="454">
        <v>17697</v>
      </c>
      <c r="K63" s="461">
        <f t="shared" si="21"/>
        <v>1</v>
      </c>
      <c r="L63" s="462">
        <v>6</v>
      </c>
      <c r="M63" s="462">
        <f t="shared" si="22"/>
        <v>56674.642499999987</v>
      </c>
      <c r="N63" s="462">
        <v>10</v>
      </c>
      <c r="O63" s="462">
        <f t="shared" si="23"/>
        <v>94457.737499999988</v>
      </c>
      <c r="P63" s="462">
        <v>0</v>
      </c>
      <c r="Q63" s="459">
        <f t="shared" si="24"/>
        <v>0</v>
      </c>
      <c r="R63" s="459">
        <f t="shared" si="25"/>
        <v>37783.094999999994</v>
      </c>
      <c r="S63" s="459">
        <f t="shared" si="26"/>
        <v>188915.47499999998</v>
      </c>
      <c r="T63" s="459">
        <f t="shared" si="27"/>
        <v>18891.547499999997</v>
      </c>
      <c r="U63" s="460"/>
      <c r="V63" s="463">
        <f t="shared" si="31"/>
        <v>0</v>
      </c>
      <c r="W63" s="460">
        <v>1</v>
      </c>
      <c r="X63" s="464">
        <f t="shared" si="32"/>
        <v>10618.199999999999</v>
      </c>
      <c r="Y63" s="454">
        <v>7</v>
      </c>
      <c r="Z63" s="459">
        <f t="shared" si="33"/>
        <v>3096.9749999999999</v>
      </c>
      <c r="AA63" s="460"/>
      <c r="AB63" s="459">
        <f t="shared" si="34"/>
        <v>0</v>
      </c>
      <c r="AC63" s="477"/>
      <c r="AD63" s="460"/>
      <c r="AE63" s="459">
        <f t="shared" si="28"/>
        <v>56674.642499999994</v>
      </c>
      <c r="AF63" s="460"/>
      <c r="AG63" s="464">
        <f t="shared" si="35"/>
        <v>0</v>
      </c>
      <c r="AH63" s="454"/>
      <c r="AI63" s="459"/>
      <c r="AJ63" s="459"/>
      <c r="AK63" s="459"/>
      <c r="AL63" s="460"/>
      <c r="AM63" s="459">
        <f t="shared" si="29"/>
        <v>278196.83999999997</v>
      </c>
      <c r="AN63" s="459">
        <f t="shared" si="30"/>
        <v>3338362.0799999996</v>
      </c>
      <c r="AO63" s="466"/>
    </row>
    <row r="64" spans="1:41" s="245" customFormat="1" ht="17.25" customHeight="1">
      <c r="A64" s="454">
        <v>46</v>
      </c>
      <c r="B64" s="455" t="s">
        <v>548</v>
      </c>
      <c r="C64" s="475" t="s">
        <v>574</v>
      </c>
      <c r="D64" s="456" t="s">
        <v>37</v>
      </c>
      <c r="E64" s="457" t="s">
        <v>178</v>
      </c>
      <c r="F64" s="457">
        <v>22.4</v>
      </c>
      <c r="G64" s="458">
        <v>5.12</v>
      </c>
      <c r="H64" s="459">
        <f t="shared" si="20"/>
        <v>181217.28</v>
      </c>
      <c r="I64" s="460">
        <v>2</v>
      </c>
      <c r="J64" s="454">
        <v>17697</v>
      </c>
      <c r="K64" s="461">
        <f t="shared" si="21"/>
        <v>1.25</v>
      </c>
      <c r="L64" s="462">
        <v>6</v>
      </c>
      <c r="M64" s="462">
        <f t="shared" si="22"/>
        <v>67956.479999999996</v>
      </c>
      <c r="N64" s="462">
        <v>7</v>
      </c>
      <c r="O64" s="462">
        <f t="shared" si="23"/>
        <v>79282.559999999998</v>
      </c>
      <c r="P64" s="462">
        <v>7</v>
      </c>
      <c r="Q64" s="459">
        <f t="shared" si="24"/>
        <v>79282.559999999998</v>
      </c>
      <c r="R64" s="459">
        <f t="shared" si="25"/>
        <v>56630.399999999994</v>
      </c>
      <c r="S64" s="459">
        <f t="shared" si="26"/>
        <v>283152</v>
      </c>
      <c r="T64" s="459">
        <f t="shared" si="27"/>
        <v>28315.200000000001</v>
      </c>
      <c r="U64" s="460"/>
      <c r="V64" s="463">
        <f t="shared" si="31"/>
        <v>0</v>
      </c>
      <c r="W64" s="460">
        <v>0.5</v>
      </c>
      <c r="X64" s="464">
        <f t="shared" si="32"/>
        <v>5309.0999999999995</v>
      </c>
      <c r="Y64" s="454"/>
      <c r="Z64" s="459">
        <f t="shared" si="33"/>
        <v>0</v>
      </c>
      <c r="AA64" s="460">
        <v>7</v>
      </c>
      <c r="AB64" s="459">
        <f t="shared" si="34"/>
        <v>3871.21875</v>
      </c>
      <c r="AC64" s="477"/>
      <c r="AD64" s="460"/>
      <c r="AE64" s="459">
        <f t="shared" si="28"/>
        <v>84945.599999999991</v>
      </c>
      <c r="AF64" s="460"/>
      <c r="AG64" s="464">
        <f t="shared" si="35"/>
        <v>0</v>
      </c>
      <c r="AH64" s="454"/>
      <c r="AI64" s="459"/>
      <c r="AJ64" s="459">
        <f>S64*35%</f>
        <v>99103.2</v>
      </c>
      <c r="AK64" s="459"/>
      <c r="AL64" s="460"/>
      <c r="AM64" s="459">
        <f t="shared" si="29"/>
        <v>504696.31874999998</v>
      </c>
      <c r="AN64" s="459">
        <f t="shared" si="30"/>
        <v>6056355.8249999993</v>
      </c>
      <c r="AO64" s="466"/>
    </row>
    <row r="65" spans="1:41" s="245" customFormat="1" ht="17.25" customHeight="1">
      <c r="A65" s="454">
        <v>47</v>
      </c>
      <c r="B65" s="455" t="s">
        <v>549</v>
      </c>
      <c r="C65" s="455" t="s">
        <v>619</v>
      </c>
      <c r="D65" s="456" t="s">
        <v>37</v>
      </c>
      <c r="E65" s="457" t="s">
        <v>177</v>
      </c>
      <c r="F65" s="458">
        <v>5.0999999999999996</v>
      </c>
      <c r="G65" s="458">
        <v>4.66</v>
      </c>
      <c r="H65" s="459">
        <f t="shared" si="20"/>
        <v>164936.04</v>
      </c>
      <c r="I65" s="460">
        <v>2</v>
      </c>
      <c r="J65" s="454">
        <v>17697</v>
      </c>
      <c r="K65" s="461">
        <f t="shared" si="21"/>
        <v>1.34375</v>
      </c>
      <c r="L65" s="462">
        <v>0</v>
      </c>
      <c r="M65" s="462">
        <f t="shared" si="22"/>
        <v>0</v>
      </c>
      <c r="N65" s="474">
        <v>19.5</v>
      </c>
      <c r="O65" s="462">
        <f t="shared" si="23"/>
        <v>201015.79875000002</v>
      </c>
      <c r="P65" s="462">
        <v>2</v>
      </c>
      <c r="Q65" s="459">
        <f t="shared" si="24"/>
        <v>20617.005000000001</v>
      </c>
      <c r="R65" s="459">
        <f t="shared" si="25"/>
        <v>55408.200937500005</v>
      </c>
      <c r="S65" s="459">
        <f t="shared" si="26"/>
        <v>277041.00468750001</v>
      </c>
      <c r="T65" s="459">
        <f t="shared" si="27"/>
        <v>27704.100468750003</v>
      </c>
      <c r="U65" s="460"/>
      <c r="V65" s="463">
        <f t="shared" si="31"/>
        <v>0</v>
      </c>
      <c r="W65" s="460">
        <v>1</v>
      </c>
      <c r="X65" s="464">
        <f t="shared" si="32"/>
        <v>10618.199999999999</v>
      </c>
      <c r="Y65" s="454"/>
      <c r="Z65" s="459">
        <f t="shared" si="33"/>
        <v>0</v>
      </c>
      <c r="AA65" s="460"/>
      <c r="AB65" s="459">
        <f t="shared" si="34"/>
        <v>0</v>
      </c>
      <c r="AC65" s="477"/>
      <c r="AD65" s="460"/>
      <c r="AE65" s="459">
        <f t="shared" si="28"/>
        <v>83112.301406250001</v>
      </c>
      <c r="AF65" s="460"/>
      <c r="AG65" s="464">
        <f t="shared" si="35"/>
        <v>0</v>
      </c>
      <c r="AH65" s="454"/>
      <c r="AI65" s="459">
        <f>S65*30%</f>
        <v>83112.301406250001</v>
      </c>
      <c r="AJ65" s="459"/>
      <c r="AK65" s="459"/>
      <c r="AL65" s="460"/>
      <c r="AM65" s="459">
        <f t="shared" si="29"/>
        <v>481587.90796874999</v>
      </c>
      <c r="AN65" s="459">
        <f t="shared" si="30"/>
        <v>5779054.8956249999</v>
      </c>
      <c r="AO65" s="466"/>
    </row>
    <row r="66" spans="1:41" s="245" customFormat="1" ht="17.25" customHeight="1">
      <c r="A66" s="454">
        <v>48</v>
      </c>
      <c r="B66" s="455" t="s">
        <v>550</v>
      </c>
      <c r="C66" s="455" t="s">
        <v>573</v>
      </c>
      <c r="D66" s="456" t="s">
        <v>37</v>
      </c>
      <c r="E66" s="457" t="s">
        <v>177</v>
      </c>
      <c r="F66" s="458">
        <v>7.11</v>
      </c>
      <c r="G66" s="458">
        <v>4.74</v>
      </c>
      <c r="H66" s="459">
        <f t="shared" si="20"/>
        <v>167767.56</v>
      </c>
      <c r="I66" s="460">
        <v>2</v>
      </c>
      <c r="J66" s="454">
        <v>17697</v>
      </c>
      <c r="K66" s="461">
        <f t="shared" si="21"/>
        <v>1</v>
      </c>
      <c r="L66" s="462">
        <v>0</v>
      </c>
      <c r="M66" s="462">
        <f t="shared" si="22"/>
        <v>0</v>
      </c>
      <c r="N66" s="462">
        <v>16</v>
      </c>
      <c r="O66" s="462">
        <f t="shared" si="23"/>
        <v>167767.56</v>
      </c>
      <c r="P66" s="462">
        <v>0</v>
      </c>
      <c r="Q66" s="459">
        <f t="shared" si="24"/>
        <v>0</v>
      </c>
      <c r="R66" s="459">
        <f t="shared" si="25"/>
        <v>41941.89</v>
      </c>
      <c r="S66" s="459">
        <f t="shared" si="26"/>
        <v>209709.45</v>
      </c>
      <c r="T66" s="459">
        <f t="shared" si="27"/>
        <v>20970.945000000003</v>
      </c>
      <c r="U66" s="460"/>
      <c r="V66" s="463">
        <f t="shared" si="31"/>
        <v>0</v>
      </c>
      <c r="W66" s="460"/>
      <c r="X66" s="464">
        <f t="shared" si="32"/>
        <v>0</v>
      </c>
      <c r="Y66" s="454"/>
      <c r="Z66" s="459">
        <f t="shared" si="33"/>
        <v>0</v>
      </c>
      <c r="AA66" s="460"/>
      <c r="AB66" s="459">
        <f t="shared" si="34"/>
        <v>0</v>
      </c>
      <c r="AC66" s="477"/>
      <c r="AD66" s="460"/>
      <c r="AE66" s="459">
        <f t="shared" si="28"/>
        <v>62912.834999999999</v>
      </c>
      <c r="AF66" s="460"/>
      <c r="AG66" s="464">
        <f t="shared" si="35"/>
        <v>0</v>
      </c>
      <c r="AH66" s="454"/>
      <c r="AI66" s="459">
        <f>S66*30%</f>
        <v>62912.834999999999</v>
      </c>
      <c r="AJ66" s="459"/>
      <c r="AK66" s="459"/>
      <c r="AL66" s="460"/>
      <c r="AM66" s="459">
        <f t="shared" si="29"/>
        <v>356506.06500000006</v>
      </c>
      <c r="AN66" s="459">
        <f t="shared" si="30"/>
        <v>4278072.7800000012</v>
      </c>
      <c r="AO66" s="466"/>
    </row>
    <row r="67" spans="1:41" s="245" customFormat="1" ht="17.25" customHeight="1">
      <c r="A67" s="454">
        <v>49</v>
      </c>
      <c r="B67" s="455" t="s">
        <v>551</v>
      </c>
      <c r="C67" s="455" t="s">
        <v>620</v>
      </c>
      <c r="D67" s="456" t="s">
        <v>37</v>
      </c>
      <c r="E67" s="457" t="s">
        <v>178</v>
      </c>
      <c r="F67" s="457">
        <v>14.9</v>
      </c>
      <c r="G67" s="458">
        <v>4.95</v>
      </c>
      <c r="H67" s="459">
        <f t="shared" si="20"/>
        <v>175200.30000000002</v>
      </c>
      <c r="I67" s="460">
        <v>2</v>
      </c>
      <c r="J67" s="454">
        <v>17697</v>
      </c>
      <c r="K67" s="461">
        <f t="shared" si="21"/>
        <v>1.25</v>
      </c>
      <c r="L67" s="462">
        <v>5</v>
      </c>
      <c r="M67" s="462">
        <f t="shared" si="22"/>
        <v>54750.093750000007</v>
      </c>
      <c r="N67" s="462">
        <v>15</v>
      </c>
      <c r="O67" s="462">
        <f t="shared" si="23"/>
        <v>164250.28125000003</v>
      </c>
      <c r="P67" s="462">
        <v>0</v>
      </c>
      <c r="Q67" s="459">
        <f t="shared" si="24"/>
        <v>0</v>
      </c>
      <c r="R67" s="459">
        <f t="shared" si="25"/>
        <v>54750.093750000007</v>
      </c>
      <c r="S67" s="459">
        <f t="shared" si="26"/>
        <v>273750.46875000006</v>
      </c>
      <c r="T67" s="459">
        <f t="shared" si="27"/>
        <v>27375.046875000007</v>
      </c>
      <c r="U67" s="460"/>
      <c r="V67" s="463">
        <f t="shared" si="31"/>
        <v>0</v>
      </c>
      <c r="W67" s="460"/>
      <c r="X67" s="464">
        <f t="shared" si="32"/>
        <v>0</v>
      </c>
      <c r="Y67" s="454"/>
      <c r="Z67" s="459">
        <f t="shared" si="33"/>
        <v>0</v>
      </c>
      <c r="AA67" s="460">
        <v>13</v>
      </c>
      <c r="AB67" s="459">
        <f t="shared" si="34"/>
        <v>7189.40625</v>
      </c>
      <c r="AC67" s="477"/>
      <c r="AD67" s="460"/>
      <c r="AE67" s="459">
        <f t="shared" si="28"/>
        <v>82125.140625000015</v>
      </c>
      <c r="AF67" s="460"/>
      <c r="AG67" s="464">
        <f t="shared" si="35"/>
        <v>0</v>
      </c>
      <c r="AH67" s="454"/>
      <c r="AI67" s="459"/>
      <c r="AJ67" s="459">
        <f>S67*35%</f>
        <v>95812.664062500015</v>
      </c>
      <c r="AK67" s="459"/>
      <c r="AL67" s="460"/>
      <c r="AM67" s="459">
        <f t="shared" si="29"/>
        <v>486252.72656250006</v>
      </c>
      <c r="AN67" s="459">
        <f t="shared" si="30"/>
        <v>5835032.7187500009</v>
      </c>
      <c r="AO67" s="466"/>
    </row>
    <row r="68" spans="1:41" s="245" customFormat="1" ht="17.25" customHeight="1">
      <c r="A68" s="454">
        <v>50</v>
      </c>
      <c r="B68" s="455" t="s">
        <v>552</v>
      </c>
      <c r="C68" s="455" t="s">
        <v>481</v>
      </c>
      <c r="D68" s="456" t="s">
        <v>37</v>
      </c>
      <c r="E68" s="457" t="s">
        <v>178</v>
      </c>
      <c r="F68" s="457">
        <v>32</v>
      </c>
      <c r="G68" s="473">
        <v>5.2</v>
      </c>
      <c r="H68" s="459">
        <f t="shared" si="20"/>
        <v>184048.80000000002</v>
      </c>
      <c r="I68" s="460">
        <v>2</v>
      </c>
      <c r="J68" s="454">
        <v>17697</v>
      </c>
      <c r="K68" s="461">
        <f t="shared" si="21"/>
        <v>1.75</v>
      </c>
      <c r="L68" s="462">
        <v>28</v>
      </c>
      <c r="M68" s="462">
        <f t="shared" si="22"/>
        <v>322085.40000000002</v>
      </c>
      <c r="N68" s="462">
        <v>0</v>
      </c>
      <c r="O68" s="462">
        <f t="shared" si="23"/>
        <v>0</v>
      </c>
      <c r="P68" s="462">
        <v>0</v>
      </c>
      <c r="Q68" s="459">
        <f t="shared" si="24"/>
        <v>0</v>
      </c>
      <c r="R68" s="459">
        <f t="shared" si="25"/>
        <v>80521.350000000006</v>
      </c>
      <c r="S68" s="459">
        <f t="shared" si="26"/>
        <v>402606.75</v>
      </c>
      <c r="T68" s="459">
        <f t="shared" si="27"/>
        <v>40260.675000000003</v>
      </c>
      <c r="U68" s="460">
        <v>1.5</v>
      </c>
      <c r="V68" s="463">
        <f t="shared" si="31"/>
        <v>13272.75</v>
      </c>
      <c r="W68" s="460"/>
      <c r="X68" s="464">
        <f t="shared" si="32"/>
        <v>0</v>
      </c>
      <c r="Y68" s="454">
        <v>18</v>
      </c>
      <c r="Z68" s="459">
        <f t="shared" si="33"/>
        <v>7963.6500000000005</v>
      </c>
      <c r="AA68" s="460"/>
      <c r="AB68" s="459">
        <f t="shared" si="34"/>
        <v>0</v>
      </c>
      <c r="AC68" s="477"/>
      <c r="AD68" s="460"/>
      <c r="AE68" s="459">
        <f t="shared" si="28"/>
        <v>120782.02499999999</v>
      </c>
      <c r="AF68" s="460"/>
      <c r="AG68" s="464">
        <f t="shared" si="35"/>
        <v>0</v>
      </c>
      <c r="AH68" s="454"/>
      <c r="AI68" s="459"/>
      <c r="AJ68" s="459">
        <f>S68*35%</f>
        <v>140912.36249999999</v>
      </c>
      <c r="AK68" s="459"/>
      <c r="AL68" s="460"/>
      <c r="AM68" s="459">
        <f t="shared" si="29"/>
        <v>725798.21249999991</v>
      </c>
      <c r="AN68" s="459">
        <f t="shared" si="30"/>
        <v>8709578.5499999989</v>
      </c>
      <c r="AO68" s="466"/>
    </row>
    <row r="69" spans="1:41" s="245" customFormat="1" ht="17.25" customHeight="1">
      <c r="A69" s="454">
        <v>51</v>
      </c>
      <c r="B69" s="467" t="s">
        <v>658</v>
      </c>
      <c r="C69" s="455" t="s">
        <v>530</v>
      </c>
      <c r="D69" s="457" t="s">
        <v>37</v>
      </c>
      <c r="E69" s="457" t="s">
        <v>181</v>
      </c>
      <c r="F69" s="457">
        <v>4.7</v>
      </c>
      <c r="G69" s="458">
        <v>4.59</v>
      </c>
      <c r="H69" s="459">
        <f t="shared" si="20"/>
        <v>162458.46</v>
      </c>
      <c r="I69" s="460">
        <v>2</v>
      </c>
      <c r="J69" s="454">
        <v>17697</v>
      </c>
      <c r="K69" s="461">
        <f t="shared" si="21"/>
        <v>0.625</v>
      </c>
      <c r="L69" s="462">
        <v>5</v>
      </c>
      <c r="M69" s="462">
        <f t="shared" si="22"/>
        <v>50768.268749999996</v>
      </c>
      <c r="N69" s="462">
        <v>5</v>
      </c>
      <c r="O69" s="462">
        <f t="shared" si="23"/>
        <v>50768.268749999996</v>
      </c>
      <c r="P69" s="462">
        <v>0</v>
      </c>
      <c r="Q69" s="459">
        <f t="shared" si="24"/>
        <v>0</v>
      </c>
      <c r="R69" s="459">
        <f t="shared" si="25"/>
        <v>25384.134374999998</v>
      </c>
      <c r="S69" s="459">
        <f t="shared" si="26"/>
        <v>126920.67187499999</v>
      </c>
      <c r="T69" s="459">
        <f t="shared" si="27"/>
        <v>12692.067187499999</v>
      </c>
      <c r="U69" s="460"/>
      <c r="V69" s="463">
        <f t="shared" si="31"/>
        <v>0</v>
      </c>
      <c r="W69" s="460"/>
      <c r="X69" s="464">
        <f t="shared" si="32"/>
        <v>0</v>
      </c>
      <c r="Y69" s="454"/>
      <c r="Z69" s="459">
        <f t="shared" si="33"/>
        <v>0</v>
      </c>
      <c r="AA69" s="460">
        <v>0</v>
      </c>
      <c r="AB69" s="459">
        <f t="shared" si="34"/>
        <v>0</v>
      </c>
      <c r="AC69" s="477"/>
      <c r="AD69" s="460"/>
      <c r="AE69" s="459">
        <f t="shared" si="28"/>
        <v>38076.201562499991</v>
      </c>
      <c r="AF69" s="460"/>
      <c r="AG69" s="464">
        <f t="shared" si="35"/>
        <v>0</v>
      </c>
      <c r="AH69" s="454"/>
      <c r="AI69" s="459">
        <f>S69*30%</f>
        <v>38076.201562499991</v>
      </c>
      <c r="AJ69" s="459"/>
      <c r="AK69" s="459"/>
      <c r="AL69" s="460"/>
      <c r="AM69" s="459">
        <f t="shared" si="29"/>
        <v>215765.14218749997</v>
      </c>
      <c r="AN69" s="459">
        <f t="shared" si="30"/>
        <v>2589181.7062499998</v>
      </c>
      <c r="AO69" s="466"/>
    </row>
    <row r="70" spans="1:41" s="245" customFormat="1" ht="17.25" customHeight="1">
      <c r="A70" s="454">
        <v>52</v>
      </c>
      <c r="B70" s="455" t="s">
        <v>553</v>
      </c>
      <c r="C70" s="455" t="s">
        <v>574</v>
      </c>
      <c r="D70" s="456" t="s">
        <v>37</v>
      </c>
      <c r="E70" s="457" t="s">
        <v>175</v>
      </c>
      <c r="F70" s="457">
        <v>1.1100000000000001</v>
      </c>
      <c r="G70" s="458">
        <v>4.1399999999999997</v>
      </c>
      <c r="H70" s="459">
        <f t="shared" si="20"/>
        <v>146531.15999999997</v>
      </c>
      <c r="I70" s="460">
        <v>2</v>
      </c>
      <c r="J70" s="454">
        <v>17697</v>
      </c>
      <c r="K70" s="461">
        <f t="shared" si="21"/>
        <v>1.125</v>
      </c>
      <c r="L70" s="462">
        <v>10</v>
      </c>
      <c r="M70" s="462">
        <f t="shared" si="22"/>
        <v>91581.974999999977</v>
      </c>
      <c r="N70" s="462">
        <v>8</v>
      </c>
      <c r="O70" s="462">
        <f t="shared" si="23"/>
        <v>73265.579999999987</v>
      </c>
      <c r="P70" s="462">
        <v>0</v>
      </c>
      <c r="Q70" s="459">
        <f t="shared" si="24"/>
        <v>0</v>
      </c>
      <c r="R70" s="459">
        <f t="shared" si="25"/>
        <v>41211.888749999991</v>
      </c>
      <c r="S70" s="459">
        <f t="shared" si="26"/>
        <v>206059.44374999995</v>
      </c>
      <c r="T70" s="459">
        <f t="shared" si="27"/>
        <v>20605.944374999995</v>
      </c>
      <c r="U70" s="460"/>
      <c r="V70" s="463">
        <f t="shared" si="31"/>
        <v>0</v>
      </c>
      <c r="W70" s="460"/>
      <c r="X70" s="464">
        <f t="shared" si="32"/>
        <v>0</v>
      </c>
      <c r="Y70" s="454"/>
      <c r="Z70" s="459">
        <f t="shared" si="33"/>
        <v>0</v>
      </c>
      <c r="AA70" s="460">
        <v>12.5</v>
      </c>
      <c r="AB70" s="459">
        <f t="shared" si="34"/>
        <v>6912.890625</v>
      </c>
      <c r="AC70" s="477"/>
      <c r="AD70" s="460"/>
      <c r="AE70" s="459">
        <f t="shared" si="28"/>
        <v>61817.833124999983</v>
      </c>
      <c r="AF70" s="460"/>
      <c r="AG70" s="464">
        <f t="shared" si="35"/>
        <v>0</v>
      </c>
      <c r="AH70" s="454"/>
      <c r="AI70" s="459"/>
      <c r="AJ70" s="459"/>
      <c r="AK70" s="459"/>
      <c r="AL70" s="460"/>
      <c r="AM70" s="459">
        <f t="shared" si="29"/>
        <v>295396.11187499994</v>
      </c>
      <c r="AN70" s="459">
        <f t="shared" si="30"/>
        <v>3544753.3424999993</v>
      </c>
      <c r="AO70" s="466"/>
    </row>
    <row r="71" spans="1:41" s="245" customFormat="1" ht="17.25" customHeight="1">
      <c r="A71" s="454">
        <v>53</v>
      </c>
      <c r="B71" s="455" t="s">
        <v>508</v>
      </c>
      <c r="C71" s="455" t="s">
        <v>481</v>
      </c>
      <c r="D71" s="456" t="s">
        <v>37</v>
      </c>
      <c r="E71" s="457" t="s">
        <v>178</v>
      </c>
      <c r="F71" s="457">
        <v>11.11</v>
      </c>
      <c r="G71" s="458">
        <v>4.8600000000000003</v>
      </c>
      <c r="H71" s="459">
        <f t="shared" si="20"/>
        <v>172014.84000000003</v>
      </c>
      <c r="I71" s="460">
        <v>2</v>
      </c>
      <c r="J71" s="454">
        <v>17697</v>
      </c>
      <c r="K71" s="461">
        <f t="shared" si="21"/>
        <v>1.125</v>
      </c>
      <c r="L71" s="462">
        <v>18</v>
      </c>
      <c r="M71" s="462">
        <f t="shared" si="22"/>
        <v>193516.69500000004</v>
      </c>
      <c r="N71" s="462">
        <v>0</v>
      </c>
      <c r="O71" s="462">
        <f t="shared" si="23"/>
        <v>0</v>
      </c>
      <c r="P71" s="462">
        <v>0</v>
      </c>
      <c r="Q71" s="459">
        <f t="shared" si="24"/>
        <v>0</v>
      </c>
      <c r="R71" s="459">
        <f t="shared" si="25"/>
        <v>48379.173750000009</v>
      </c>
      <c r="S71" s="459">
        <f t="shared" si="26"/>
        <v>241895.86875000005</v>
      </c>
      <c r="T71" s="459">
        <f t="shared" si="27"/>
        <v>24189.586875000008</v>
      </c>
      <c r="U71" s="460">
        <v>1</v>
      </c>
      <c r="V71" s="463">
        <f t="shared" si="31"/>
        <v>8848.5</v>
      </c>
      <c r="W71" s="460"/>
      <c r="X71" s="464">
        <f t="shared" si="32"/>
        <v>0</v>
      </c>
      <c r="Y71" s="454">
        <v>8</v>
      </c>
      <c r="Z71" s="459">
        <f t="shared" si="33"/>
        <v>3539.4</v>
      </c>
      <c r="AA71" s="460"/>
      <c r="AB71" s="459">
        <f t="shared" si="34"/>
        <v>0</v>
      </c>
      <c r="AC71" s="478"/>
      <c r="AD71" s="460"/>
      <c r="AE71" s="459">
        <f t="shared" si="28"/>
        <v>72568.76062500001</v>
      </c>
      <c r="AF71" s="460"/>
      <c r="AG71" s="464">
        <f t="shared" si="35"/>
        <v>0</v>
      </c>
      <c r="AH71" s="454"/>
      <c r="AI71" s="459"/>
      <c r="AJ71" s="459">
        <f>S71*35%</f>
        <v>84663.554062500014</v>
      </c>
      <c r="AK71" s="459"/>
      <c r="AL71" s="460"/>
      <c r="AM71" s="459">
        <f t="shared" si="29"/>
        <v>435705.67031250009</v>
      </c>
      <c r="AN71" s="459">
        <f t="shared" si="30"/>
        <v>5228468.0437500011</v>
      </c>
      <c r="AO71" s="466"/>
    </row>
    <row r="72" spans="1:41" s="245" customFormat="1" ht="17.25" customHeight="1">
      <c r="A72" s="454">
        <v>54</v>
      </c>
      <c r="B72" s="455" t="s">
        <v>509</v>
      </c>
      <c r="C72" s="455" t="s">
        <v>481</v>
      </c>
      <c r="D72" s="456" t="s">
        <v>37</v>
      </c>
      <c r="E72" s="457" t="s">
        <v>175</v>
      </c>
      <c r="F72" s="457">
        <v>1.1100000000000001</v>
      </c>
      <c r="G72" s="458">
        <v>4.1399999999999997</v>
      </c>
      <c r="H72" s="459">
        <f t="shared" si="20"/>
        <v>146531.15999999997</v>
      </c>
      <c r="I72" s="460">
        <v>2</v>
      </c>
      <c r="J72" s="454">
        <v>17697</v>
      </c>
      <c r="K72" s="461">
        <f t="shared" si="21"/>
        <v>1.0625</v>
      </c>
      <c r="L72" s="462">
        <v>17</v>
      </c>
      <c r="M72" s="462">
        <f t="shared" si="22"/>
        <v>155689.35749999998</v>
      </c>
      <c r="N72" s="462">
        <v>0</v>
      </c>
      <c r="O72" s="462">
        <f t="shared" si="23"/>
        <v>0</v>
      </c>
      <c r="P72" s="462">
        <v>0</v>
      </c>
      <c r="Q72" s="459">
        <f t="shared" si="24"/>
        <v>0</v>
      </c>
      <c r="R72" s="459">
        <f t="shared" si="25"/>
        <v>38922.339374999996</v>
      </c>
      <c r="S72" s="459">
        <f t="shared" si="26"/>
        <v>194611.69687499997</v>
      </c>
      <c r="T72" s="459">
        <f t="shared" si="27"/>
        <v>19461.169687499998</v>
      </c>
      <c r="U72" s="460">
        <v>1</v>
      </c>
      <c r="V72" s="463">
        <f t="shared" si="31"/>
        <v>8848.5</v>
      </c>
      <c r="W72" s="460"/>
      <c r="X72" s="464">
        <f t="shared" si="32"/>
        <v>0</v>
      </c>
      <c r="Y72" s="454">
        <v>8</v>
      </c>
      <c r="Z72" s="459">
        <f t="shared" si="33"/>
        <v>3539.4</v>
      </c>
      <c r="AA72" s="460"/>
      <c r="AB72" s="459">
        <f t="shared" si="34"/>
        <v>0</v>
      </c>
      <c r="AC72" s="478"/>
      <c r="AD72" s="460"/>
      <c r="AE72" s="459">
        <f t="shared" si="28"/>
        <v>58383.509062499987</v>
      </c>
      <c r="AF72" s="460"/>
      <c r="AG72" s="464">
        <f t="shared" si="35"/>
        <v>0</v>
      </c>
      <c r="AH72" s="454"/>
      <c r="AI72" s="459"/>
      <c r="AJ72" s="459"/>
      <c r="AK72" s="459"/>
      <c r="AL72" s="460"/>
      <c r="AM72" s="459">
        <f t="shared" si="29"/>
        <v>284844.27562499995</v>
      </c>
      <c r="AN72" s="459">
        <f t="shared" si="30"/>
        <v>3418131.3074999992</v>
      </c>
      <c r="AO72" s="466"/>
    </row>
    <row r="73" spans="1:41" s="245" customFormat="1" ht="17.25" customHeight="1">
      <c r="A73" s="454">
        <v>55</v>
      </c>
      <c r="B73" s="455" t="s">
        <v>554</v>
      </c>
      <c r="C73" s="455" t="s">
        <v>573</v>
      </c>
      <c r="D73" s="456" t="s">
        <v>37</v>
      </c>
      <c r="E73" s="457" t="s">
        <v>177</v>
      </c>
      <c r="F73" s="457">
        <v>8</v>
      </c>
      <c r="G73" s="458">
        <v>4.74</v>
      </c>
      <c r="H73" s="459">
        <f t="shared" si="20"/>
        <v>167767.56</v>
      </c>
      <c r="I73" s="460">
        <v>2</v>
      </c>
      <c r="J73" s="454">
        <v>17697</v>
      </c>
      <c r="K73" s="461">
        <f t="shared" si="21"/>
        <v>1</v>
      </c>
      <c r="L73" s="462">
        <v>9</v>
      </c>
      <c r="M73" s="462">
        <f t="shared" si="22"/>
        <v>94369.252500000002</v>
      </c>
      <c r="N73" s="462">
        <v>6</v>
      </c>
      <c r="O73" s="462">
        <f t="shared" si="23"/>
        <v>62912.834999999999</v>
      </c>
      <c r="P73" s="462">
        <v>1</v>
      </c>
      <c r="Q73" s="459">
        <f t="shared" si="24"/>
        <v>10485.4725</v>
      </c>
      <c r="R73" s="459">
        <f t="shared" si="25"/>
        <v>41941.89</v>
      </c>
      <c r="S73" s="459">
        <f t="shared" si="26"/>
        <v>209709.45</v>
      </c>
      <c r="T73" s="459">
        <f t="shared" si="27"/>
        <v>20970.945000000003</v>
      </c>
      <c r="U73" s="460"/>
      <c r="V73" s="463">
        <f t="shared" si="31"/>
        <v>0</v>
      </c>
      <c r="W73" s="460"/>
      <c r="X73" s="464">
        <f t="shared" si="32"/>
        <v>0</v>
      </c>
      <c r="Y73" s="454"/>
      <c r="Z73" s="459">
        <f t="shared" si="33"/>
        <v>0</v>
      </c>
      <c r="AA73" s="460"/>
      <c r="AB73" s="459">
        <f t="shared" si="34"/>
        <v>0</v>
      </c>
      <c r="AC73" s="477"/>
      <c r="AD73" s="460"/>
      <c r="AE73" s="459">
        <f t="shared" si="28"/>
        <v>62912.834999999999</v>
      </c>
      <c r="AF73" s="460"/>
      <c r="AG73" s="464">
        <f t="shared" si="35"/>
        <v>0</v>
      </c>
      <c r="AH73" s="454"/>
      <c r="AI73" s="459">
        <f>S73*30%</f>
        <v>62912.834999999999</v>
      </c>
      <c r="AJ73" s="459"/>
      <c r="AK73" s="459"/>
      <c r="AL73" s="460"/>
      <c r="AM73" s="459">
        <f t="shared" si="29"/>
        <v>356506.06500000006</v>
      </c>
      <c r="AN73" s="459">
        <f t="shared" si="30"/>
        <v>4278072.7800000012</v>
      </c>
      <c r="AO73" s="466"/>
    </row>
    <row r="74" spans="1:41" s="245" customFormat="1" ht="17.25" customHeight="1">
      <c r="A74" s="454">
        <v>56</v>
      </c>
      <c r="B74" s="455" t="s">
        <v>555</v>
      </c>
      <c r="C74" s="455" t="s">
        <v>481</v>
      </c>
      <c r="D74" s="456" t="s">
        <v>37</v>
      </c>
      <c r="E74" s="457" t="s">
        <v>174</v>
      </c>
      <c r="F74" s="457">
        <v>16</v>
      </c>
      <c r="G74" s="458">
        <v>5.24</v>
      </c>
      <c r="H74" s="459">
        <f t="shared" si="20"/>
        <v>185464.56</v>
      </c>
      <c r="I74" s="460">
        <v>2</v>
      </c>
      <c r="J74" s="454">
        <v>17697</v>
      </c>
      <c r="K74" s="461">
        <f t="shared" si="21"/>
        <v>1.25</v>
      </c>
      <c r="L74" s="462">
        <v>20</v>
      </c>
      <c r="M74" s="462">
        <f t="shared" si="22"/>
        <v>231830.7</v>
      </c>
      <c r="N74" s="462">
        <v>0</v>
      </c>
      <c r="O74" s="462">
        <f t="shared" si="23"/>
        <v>0</v>
      </c>
      <c r="P74" s="462">
        <v>0</v>
      </c>
      <c r="Q74" s="459">
        <f t="shared" si="24"/>
        <v>0</v>
      </c>
      <c r="R74" s="459">
        <f t="shared" si="25"/>
        <v>57957.675000000003</v>
      </c>
      <c r="S74" s="459">
        <f t="shared" si="26"/>
        <v>289788.375</v>
      </c>
      <c r="T74" s="459">
        <f t="shared" si="27"/>
        <v>28978.837500000001</v>
      </c>
      <c r="U74" s="460">
        <v>1</v>
      </c>
      <c r="V74" s="463">
        <f t="shared" si="31"/>
        <v>8848.5</v>
      </c>
      <c r="W74" s="460"/>
      <c r="X74" s="464">
        <f t="shared" si="32"/>
        <v>0</v>
      </c>
      <c r="Y74" s="454">
        <v>10</v>
      </c>
      <c r="Z74" s="459">
        <f t="shared" si="33"/>
        <v>4424.25</v>
      </c>
      <c r="AA74" s="460"/>
      <c r="AB74" s="459">
        <f t="shared" si="34"/>
        <v>0</v>
      </c>
      <c r="AC74" s="477"/>
      <c r="AD74" s="460"/>
      <c r="AE74" s="459">
        <f t="shared" si="28"/>
        <v>86936.512499999997</v>
      </c>
      <c r="AF74" s="460"/>
      <c r="AG74" s="464">
        <f t="shared" si="35"/>
        <v>0</v>
      </c>
      <c r="AH74" s="454"/>
      <c r="AI74" s="459"/>
      <c r="AJ74" s="459"/>
      <c r="AK74" s="459">
        <f>S74*40%</f>
        <v>115915.35</v>
      </c>
      <c r="AL74" s="460"/>
      <c r="AM74" s="459">
        <f t="shared" si="29"/>
        <v>534891.82500000007</v>
      </c>
      <c r="AN74" s="459">
        <f t="shared" si="30"/>
        <v>6418701.9000000004</v>
      </c>
      <c r="AO74" s="466"/>
    </row>
    <row r="75" spans="1:41" s="245" customFormat="1" ht="17.25" customHeight="1">
      <c r="A75" s="454">
        <v>58</v>
      </c>
      <c r="B75" s="455" t="s">
        <v>556</v>
      </c>
      <c r="C75" s="455" t="s">
        <v>485</v>
      </c>
      <c r="D75" s="456" t="s">
        <v>37</v>
      </c>
      <c r="E75" s="457" t="s">
        <v>177</v>
      </c>
      <c r="F75" s="457">
        <v>8</v>
      </c>
      <c r="G75" s="458">
        <v>4.74</v>
      </c>
      <c r="H75" s="459">
        <f t="shared" si="20"/>
        <v>167767.56</v>
      </c>
      <c r="I75" s="460">
        <v>2</v>
      </c>
      <c r="J75" s="454">
        <v>17697</v>
      </c>
      <c r="K75" s="461">
        <f t="shared" si="21"/>
        <v>1.25</v>
      </c>
      <c r="L75" s="462">
        <v>0</v>
      </c>
      <c r="M75" s="462">
        <f t="shared" si="22"/>
        <v>0</v>
      </c>
      <c r="N75" s="462">
        <v>14</v>
      </c>
      <c r="O75" s="462">
        <f t="shared" si="23"/>
        <v>146796.61499999999</v>
      </c>
      <c r="P75" s="462">
        <v>6</v>
      </c>
      <c r="Q75" s="459">
        <f t="shared" si="24"/>
        <v>62912.834999999999</v>
      </c>
      <c r="R75" s="459">
        <f t="shared" si="25"/>
        <v>52427.362499999996</v>
      </c>
      <c r="S75" s="459">
        <f t="shared" si="26"/>
        <v>262136.81249999997</v>
      </c>
      <c r="T75" s="459">
        <f t="shared" si="27"/>
        <v>26213.681249999998</v>
      </c>
      <c r="U75" s="460"/>
      <c r="V75" s="463">
        <f t="shared" si="31"/>
        <v>0</v>
      </c>
      <c r="W75" s="460">
        <v>1</v>
      </c>
      <c r="X75" s="464">
        <f t="shared" si="32"/>
        <v>10618.199999999999</v>
      </c>
      <c r="Y75" s="454"/>
      <c r="Z75" s="459">
        <f t="shared" si="33"/>
        <v>0</v>
      </c>
      <c r="AA75" s="460"/>
      <c r="AB75" s="459">
        <f t="shared" si="34"/>
        <v>0</v>
      </c>
      <c r="AC75" s="477"/>
      <c r="AD75" s="460"/>
      <c r="AE75" s="459">
        <f t="shared" si="28"/>
        <v>78641.043749999983</v>
      </c>
      <c r="AF75" s="460"/>
      <c r="AG75" s="464">
        <f t="shared" si="35"/>
        <v>0</v>
      </c>
      <c r="AH75" s="454"/>
      <c r="AI75" s="459">
        <f>S75*30%</f>
        <v>78641.043749999983</v>
      </c>
      <c r="AJ75" s="459"/>
      <c r="AK75" s="459"/>
      <c r="AL75" s="460"/>
      <c r="AM75" s="459">
        <f t="shared" si="29"/>
        <v>456250.78124999988</v>
      </c>
      <c r="AN75" s="459">
        <f t="shared" si="30"/>
        <v>5475009.3749999981</v>
      </c>
      <c r="AO75" s="466"/>
    </row>
    <row r="76" spans="1:41" s="245" customFormat="1" ht="17.25" customHeight="1">
      <c r="A76" s="454">
        <v>59</v>
      </c>
      <c r="B76" s="455" t="s">
        <v>557</v>
      </c>
      <c r="C76" s="455" t="s">
        <v>481</v>
      </c>
      <c r="D76" s="456" t="s">
        <v>37</v>
      </c>
      <c r="E76" s="457" t="s">
        <v>175</v>
      </c>
      <c r="F76" s="458">
        <v>3.1</v>
      </c>
      <c r="G76" s="458">
        <v>4.2300000000000004</v>
      </c>
      <c r="H76" s="459">
        <f t="shared" si="20"/>
        <v>149716.62000000002</v>
      </c>
      <c r="I76" s="460">
        <v>2</v>
      </c>
      <c r="J76" s="454">
        <v>17697</v>
      </c>
      <c r="K76" s="461">
        <f t="shared" si="21"/>
        <v>1.0625</v>
      </c>
      <c r="L76" s="462">
        <v>6</v>
      </c>
      <c r="M76" s="462">
        <f t="shared" si="22"/>
        <v>56143.732500000013</v>
      </c>
      <c r="N76" s="462">
        <v>11</v>
      </c>
      <c r="O76" s="462">
        <f t="shared" si="23"/>
        <v>102930.17625000002</v>
      </c>
      <c r="P76" s="462">
        <v>0</v>
      </c>
      <c r="Q76" s="459">
        <f t="shared" si="24"/>
        <v>0</v>
      </c>
      <c r="R76" s="459">
        <f t="shared" si="25"/>
        <v>39768.477187500008</v>
      </c>
      <c r="S76" s="459">
        <f t="shared" si="26"/>
        <v>198842.38593750005</v>
      </c>
      <c r="T76" s="459">
        <f t="shared" si="27"/>
        <v>19884.238593750008</v>
      </c>
      <c r="U76" s="460"/>
      <c r="V76" s="463">
        <f t="shared" si="31"/>
        <v>0</v>
      </c>
      <c r="W76" s="460">
        <v>1</v>
      </c>
      <c r="X76" s="464">
        <f t="shared" si="32"/>
        <v>10618.199999999999</v>
      </c>
      <c r="Y76" s="454">
        <v>12</v>
      </c>
      <c r="Z76" s="459">
        <f t="shared" si="33"/>
        <v>5309.1</v>
      </c>
      <c r="AA76" s="460"/>
      <c r="AB76" s="459">
        <f t="shared" si="34"/>
        <v>0</v>
      </c>
      <c r="AC76" s="477"/>
      <c r="AD76" s="460"/>
      <c r="AE76" s="459">
        <f t="shared" si="28"/>
        <v>59652.715781250008</v>
      </c>
      <c r="AF76" s="460"/>
      <c r="AG76" s="464">
        <f t="shared" si="35"/>
        <v>0</v>
      </c>
      <c r="AH76" s="454"/>
      <c r="AI76" s="459"/>
      <c r="AJ76" s="459"/>
      <c r="AK76" s="459"/>
      <c r="AL76" s="460"/>
      <c r="AM76" s="459">
        <f t="shared" si="29"/>
        <v>294306.64031250007</v>
      </c>
      <c r="AN76" s="459">
        <f t="shared" si="30"/>
        <v>3531679.6837500008</v>
      </c>
      <c r="AO76" s="466"/>
    </row>
    <row r="77" spans="1:41" s="245" customFormat="1" ht="15" customHeight="1">
      <c r="A77" s="454">
        <v>60</v>
      </c>
      <c r="B77" s="475" t="s">
        <v>559</v>
      </c>
      <c r="C77" s="475" t="s">
        <v>574</v>
      </c>
      <c r="D77" s="479" t="s">
        <v>37</v>
      </c>
      <c r="E77" s="457" t="s">
        <v>174</v>
      </c>
      <c r="F77" s="457">
        <v>30.7</v>
      </c>
      <c r="G77" s="458">
        <v>5.41</v>
      </c>
      <c r="H77" s="459">
        <f t="shared" si="20"/>
        <v>191481.54</v>
      </c>
      <c r="I77" s="460">
        <v>2</v>
      </c>
      <c r="J77" s="454">
        <v>17697</v>
      </c>
      <c r="K77" s="461">
        <f t="shared" si="21"/>
        <v>1.375</v>
      </c>
      <c r="L77" s="462">
        <v>0</v>
      </c>
      <c r="M77" s="462">
        <f t="shared" si="22"/>
        <v>0</v>
      </c>
      <c r="N77" s="462">
        <v>10</v>
      </c>
      <c r="O77" s="462">
        <f t="shared" si="23"/>
        <v>119675.96250000001</v>
      </c>
      <c r="P77" s="462">
        <v>12</v>
      </c>
      <c r="Q77" s="459">
        <f t="shared" si="24"/>
        <v>143611.155</v>
      </c>
      <c r="R77" s="459">
        <f t="shared" si="25"/>
        <v>65821.779374999998</v>
      </c>
      <c r="S77" s="459">
        <f t="shared" si="26"/>
        <v>329108.89687499998</v>
      </c>
      <c r="T77" s="459">
        <f t="shared" si="27"/>
        <v>32910.889687499999</v>
      </c>
      <c r="U77" s="460"/>
      <c r="V77" s="463">
        <f t="shared" si="31"/>
        <v>0</v>
      </c>
      <c r="W77" s="460">
        <v>1</v>
      </c>
      <c r="X77" s="464">
        <f t="shared" si="32"/>
        <v>10618.199999999999</v>
      </c>
      <c r="Y77" s="454"/>
      <c r="Z77" s="459">
        <f t="shared" si="33"/>
        <v>0</v>
      </c>
      <c r="AA77" s="460">
        <v>12</v>
      </c>
      <c r="AB77" s="459">
        <f t="shared" si="34"/>
        <v>6636.375</v>
      </c>
      <c r="AC77" s="477"/>
      <c r="AD77" s="460"/>
      <c r="AE77" s="459">
        <f t="shared" si="28"/>
        <v>98732.66906249999</v>
      </c>
      <c r="AF77" s="460"/>
      <c r="AG77" s="464">
        <f t="shared" si="35"/>
        <v>0</v>
      </c>
      <c r="AH77" s="454"/>
      <c r="AI77" s="459"/>
      <c r="AJ77" s="459"/>
      <c r="AK77" s="459">
        <f>S77*40%</f>
        <v>131643.55875</v>
      </c>
      <c r="AL77" s="460"/>
      <c r="AM77" s="459">
        <f t="shared" si="29"/>
        <v>609650.58937499998</v>
      </c>
      <c r="AN77" s="459">
        <f t="shared" si="30"/>
        <v>7315807.0724999998</v>
      </c>
      <c r="AO77" s="466"/>
    </row>
    <row r="78" spans="1:41" s="245" customFormat="1" ht="16.5" customHeight="1">
      <c r="A78" s="454">
        <v>61</v>
      </c>
      <c r="B78" s="475" t="s">
        <v>618</v>
      </c>
      <c r="C78" s="475" t="s">
        <v>481</v>
      </c>
      <c r="D78" s="479" t="s">
        <v>37</v>
      </c>
      <c r="E78" s="457" t="s">
        <v>178</v>
      </c>
      <c r="F78" s="457">
        <v>23</v>
      </c>
      <c r="G78" s="458">
        <v>5.12</v>
      </c>
      <c r="H78" s="459">
        <f t="shared" si="20"/>
        <v>181217.28</v>
      </c>
      <c r="I78" s="460">
        <v>2</v>
      </c>
      <c r="J78" s="454">
        <v>17697</v>
      </c>
      <c r="K78" s="461">
        <f t="shared" si="21"/>
        <v>1.125</v>
      </c>
      <c r="L78" s="462">
        <v>18</v>
      </c>
      <c r="M78" s="462">
        <f t="shared" si="22"/>
        <v>203869.44</v>
      </c>
      <c r="N78" s="462">
        <v>0</v>
      </c>
      <c r="O78" s="462">
        <f t="shared" si="23"/>
        <v>0</v>
      </c>
      <c r="P78" s="462">
        <v>0</v>
      </c>
      <c r="Q78" s="459">
        <f t="shared" si="24"/>
        <v>0</v>
      </c>
      <c r="R78" s="459">
        <f t="shared" si="25"/>
        <v>50967.360000000001</v>
      </c>
      <c r="S78" s="459">
        <f t="shared" si="26"/>
        <v>254836.8</v>
      </c>
      <c r="T78" s="459">
        <f t="shared" si="27"/>
        <v>25483.68</v>
      </c>
      <c r="U78" s="460">
        <v>1</v>
      </c>
      <c r="V78" s="463">
        <f t="shared" si="31"/>
        <v>8848.5</v>
      </c>
      <c r="W78" s="460"/>
      <c r="X78" s="464">
        <f t="shared" si="32"/>
        <v>0</v>
      </c>
      <c r="Y78" s="454">
        <v>8</v>
      </c>
      <c r="Z78" s="459">
        <f t="shared" si="33"/>
        <v>3539.4</v>
      </c>
      <c r="AA78" s="460"/>
      <c r="AB78" s="459">
        <f t="shared" si="34"/>
        <v>0</v>
      </c>
      <c r="AC78" s="477"/>
      <c r="AD78" s="460"/>
      <c r="AE78" s="459">
        <f t="shared" si="28"/>
        <v>76451.039999999994</v>
      </c>
      <c r="AF78" s="460"/>
      <c r="AG78" s="464">
        <f t="shared" si="35"/>
        <v>0</v>
      </c>
      <c r="AH78" s="454"/>
      <c r="AI78" s="459"/>
      <c r="AJ78" s="459">
        <f>S78*35%</f>
        <v>89192.87999999999</v>
      </c>
      <c r="AK78" s="459"/>
      <c r="AL78" s="460"/>
      <c r="AM78" s="459">
        <f t="shared" si="29"/>
        <v>458352.3</v>
      </c>
      <c r="AN78" s="459">
        <f t="shared" si="30"/>
        <v>5500227.5999999996</v>
      </c>
      <c r="AO78" s="466"/>
    </row>
    <row r="79" spans="1:41" s="245" customFormat="1" ht="16.5" customHeight="1">
      <c r="A79" s="605">
        <v>62</v>
      </c>
      <c r="B79" s="606" t="s">
        <v>501</v>
      </c>
      <c r="C79" s="606" t="s">
        <v>502</v>
      </c>
      <c r="D79" s="608" t="s">
        <v>37</v>
      </c>
      <c r="E79" s="457" t="s">
        <v>178</v>
      </c>
      <c r="F79" s="473">
        <v>9.5</v>
      </c>
      <c r="G79" s="458">
        <v>4.79</v>
      </c>
      <c r="H79" s="459">
        <f t="shared" si="20"/>
        <v>169537.26</v>
      </c>
      <c r="I79" s="460">
        <v>2</v>
      </c>
      <c r="J79" s="454">
        <v>17697</v>
      </c>
      <c r="K79" s="461">
        <f t="shared" si="21"/>
        <v>0.25</v>
      </c>
      <c r="L79" s="462">
        <v>0</v>
      </c>
      <c r="M79" s="462">
        <f t="shared" si="22"/>
        <v>0</v>
      </c>
      <c r="N79" s="462">
        <v>4</v>
      </c>
      <c r="O79" s="462">
        <f t="shared" si="23"/>
        <v>42384.315000000002</v>
      </c>
      <c r="P79" s="462">
        <v>0</v>
      </c>
      <c r="Q79" s="459">
        <f t="shared" si="24"/>
        <v>0</v>
      </c>
      <c r="R79" s="459">
        <f t="shared" si="25"/>
        <v>10596.078750000001</v>
      </c>
      <c r="S79" s="459">
        <f t="shared" si="26"/>
        <v>52980.393750000003</v>
      </c>
      <c r="T79" s="459">
        <f t="shared" si="27"/>
        <v>5298.0393750000003</v>
      </c>
      <c r="U79" s="460"/>
      <c r="V79" s="463">
        <f t="shared" si="31"/>
        <v>0</v>
      </c>
      <c r="W79" s="460"/>
      <c r="X79" s="464">
        <f t="shared" si="32"/>
        <v>0</v>
      </c>
      <c r="Y79" s="454"/>
      <c r="Z79" s="459">
        <f t="shared" si="33"/>
        <v>0</v>
      </c>
      <c r="AA79" s="460"/>
      <c r="AB79" s="459">
        <f t="shared" si="34"/>
        <v>0</v>
      </c>
      <c r="AC79" s="478"/>
      <c r="AD79" s="460"/>
      <c r="AE79" s="459">
        <f t="shared" si="28"/>
        <v>15894.118125000001</v>
      </c>
      <c r="AF79" s="460"/>
      <c r="AG79" s="464">
        <f t="shared" si="35"/>
        <v>0</v>
      </c>
      <c r="AH79" s="454"/>
      <c r="AI79" s="459"/>
      <c r="AJ79" s="459">
        <f>S79*35%</f>
        <v>18543.137812500001</v>
      </c>
      <c r="AK79" s="459"/>
      <c r="AL79" s="460"/>
      <c r="AM79" s="459">
        <f t="shared" si="29"/>
        <v>92715.689062500009</v>
      </c>
      <c r="AN79" s="459">
        <f t="shared" si="30"/>
        <v>1112588.26875</v>
      </c>
      <c r="AO79" s="466"/>
    </row>
    <row r="80" spans="1:41" s="245" customFormat="1" ht="16.5" customHeight="1">
      <c r="A80" s="605"/>
      <c r="B80" s="607"/>
      <c r="C80" s="607"/>
      <c r="D80" s="609"/>
      <c r="E80" s="457" t="s">
        <v>175</v>
      </c>
      <c r="F80" s="473">
        <v>9.5</v>
      </c>
      <c r="G80" s="458">
        <v>4.33</v>
      </c>
      <c r="H80" s="459">
        <f t="shared" si="20"/>
        <v>153256.01999999999</v>
      </c>
      <c r="I80" s="460">
        <v>2</v>
      </c>
      <c r="J80" s="454">
        <v>17697</v>
      </c>
      <c r="K80" s="461">
        <f t="shared" si="21"/>
        <v>0.25</v>
      </c>
      <c r="L80" s="462">
        <v>0</v>
      </c>
      <c r="M80" s="462">
        <f t="shared" si="22"/>
        <v>0</v>
      </c>
      <c r="N80" s="462">
        <v>4</v>
      </c>
      <c r="O80" s="462">
        <f t="shared" si="23"/>
        <v>38314.004999999997</v>
      </c>
      <c r="P80" s="462">
        <v>0</v>
      </c>
      <c r="Q80" s="459">
        <f t="shared" si="24"/>
        <v>0</v>
      </c>
      <c r="R80" s="459">
        <f t="shared" si="25"/>
        <v>9578.5012499999993</v>
      </c>
      <c r="S80" s="459">
        <f t="shared" si="26"/>
        <v>47892.506249999999</v>
      </c>
      <c r="T80" s="459">
        <f t="shared" si="27"/>
        <v>4789.2506249999997</v>
      </c>
      <c r="U80" s="460"/>
      <c r="V80" s="463">
        <f t="shared" si="31"/>
        <v>0</v>
      </c>
      <c r="W80" s="460"/>
      <c r="X80" s="464">
        <f t="shared" si="32"/>
        <v>0</v>
      </c>
      <c r="Y80" s="454"/>
      <c r="Z80" s="459">
        <f t="shared" si="33"/>
        <v>0</v>
      </c>
      <c r="AA80" s="460">
        <v>2</v>
      </c>
      <c r="AB80" s="459">
        <f t="shared" si="34"/>
        <v>1106.0625</v>
      </c>
      <c r="AC80" s="478"/>
      <c r="AD80" s="460"/>
      <c r="AE80" s="459">
        <f t="shared" si="28"/>
        <v>14367.751875</v>
      </c>
      <c r="AF80" s="460"/>
      <c r="AG80" s="464">
        <f t="shared" si="35"/>
        <v>0</v>
      </c>
      <c r="AH80" s="454"/>
      <c r="AI80" s="459"/>
      <c r="AJ80" s="459"/>
      <c r="AK80" s="459"/>
      <c r="AL80" s="460"/>
      <c r="AM80" s="459">
        <f t="shared" si="29"/>
        <v>68155.571249999994</v>
      </c>
      <c r="AN80" s="459">
        <f t="shared" si="30"/>
        <v>817866.85499999998</v>
      </c>
      <c r="AO80" s="466"/>
    </row>
    <row r="81" spans="1:41" s="245" customFormat="1" ht="16.5" customHeight="1">
      <c r="A81" s="454">
        <v>63</v>
      </c>
      <c r="B81" s="455" t="s">
        <v>560</v>
      </c>
      <c r="C81" s="455" t="s">
        <v>481</v>
      </c>
      <c r="D81" s="456" t="s">
        <v>37</v>
      </c>
      <c r="E81" s="457" t="s">
        <v>174</v>
      </c>
      <c r="F81" s="457">
        <v>17.11</v>
      </c>
      <c r="G81" s="458">
        <v>5.24</v>
      </c>
      <c r="H81" s="459">
        <f t="shared" si="20"/>
        <v>185464.56</v>
      </c>
      <c r="I81" s="460">
        <v>2</v>
      </c>
      <c r="J81" s="454">
        <v>17697</v>
      </c>
      <c r="K81" s="461">
        <f t="shared" si="21"/>
        <v>1.0625</v>
      </c>
      <c r="L81" s="462">
        <v>17</v>
      </c>
      <c r="M81" s="462">
        <f t="shared" si="22"/>
        <v>197056.095</v>
      </c>
      <c r="N81" s="462">
        <v>0</v>
      </c>
      <c r="O81" s="462">
        <f t="shared" si="23"/>
        <v>0</v>
      </c>
      <c r="P81" s="462">
        <v>0</v>
      </c>
      <c r="Q81" s="459">
        <f t="shared" si="24"/>
        <v>0</v>
      </c>
      <c r="R81" s="459">
        <f t="shared" si="25"/>
        <v>49264.02375</v>
      </c>
      <c r="S81" s="459">
        <f t="shared" si="26"/>
        <v>246320.11874999999</v>
      </c>
      <c r="T81" s="459">
        <f t="shared" si="27"/>
        <v>24632.011875</v>
      </c>
      <c r="U81" s="460">
        <v>1</v>
      </c>
      <c r="V81" s="463">
        <f t="shared" si="31"/>
        <v>8848.5</v>
      </c>
      <c r="W81" s="460"/>
      <c r="X81" s="464">
        <f t="shared" si="32"/>
        <v>0</v>
      </c>
      <c r="Y81" s="454">
        <v>9</v>
      </c>
      <c r="Z81" s="459">
        <f t="shared" si="33"/>
        <v>3981.8250000000003</v>
      </c>
      <c r="AA81" s="460"/>
      <c r="AB81" s="459">
        <f t="shared" si="34"/>
        <v>0</v>
      </c>
      <c r="AC81" s="468"/>
      <c r="AD81" s="460"/>
      <c r="AE81" s="459">
        <f t="shared" si="28"/>
        <v>73896.03562499999</v>
      </c>
      <c r="AF81" s="460"/>
      <c r="AG81" s="464">
        <f t="shared" si="35"/>
        <v>0</v>
      </c>
      <c r="AH81" s="454"/>
      <c r="AI81" s="459"/>
      <c r="AJ81" s="459"/>
      <c r="AK81" s="459">
        <f>S81*40%</f>
        <v>98528.047500000001</v>
      </c>
      <c r="AL81" s="460"/>
      <c r="AM81" s="459">
        <f t="shared" si="29"/>
        <v>456206.53874999995</v>
      </c>
      <c r="AN81" s="459">
        <f t="shared" si="30"/>
        <v>5474478.4649999999</v>
      </c>
      <c r="AO81" s="466"/>
    </row>
    <row r="82" spans="1:41" s="245" customFormat="1" ht="16.5" customHeight="1">
      <c r="A82" s="454">
        <v>64</v>
      </c>
      <c r="B82" s="455" t="s">
        <v>503</v>
      </c>
      <c r="C82" s="455" t="s">
        <v>483</v>
      </c>
      <c r="D82" s="456" t="s">
        <v>37</v>
      </c>
      <c r="E82" s="457" t="s">
        <v>174</v>
      </c>
      <c r="F82" s="457">
        <v>26</v>
      </c>
      <c r="G82" s="458">
        <v>5.41</v>
      </c>
      <c r="H82" s="459">
        <f t="shared" si="20"/>
        <v>191481.54</v>
      </c>
      <c r="I82" s="460">
        <v>2</v>
      </c>
      <c r="J82" s="454">
        <v>17697</v>
      </c>
      <c r="K82" s="461">
        <f t="shared" si="21"/>
        <v>0.5</v>
      </c>
      <c r="L82" s="462">
        <v>0</v>
      </c>
      <c r="M82" s="462">
        <f t="shared" si="22"/>
        <v>0</v>
      </c>
      <c r="N82" s="462">
        <v>6</v>
      </c>
      <c r="O82" s="462">
        <f t="shared" si="23"/>
        <v>71805.577499999999</v>
      </c>
      <c r="P82" s="462">
        <v>2</v>
      </c>
      <c r="Q82" s="459">
        <f t="shared" si="24"/>
        <v>23935.192500000001</v>
      </c>
      <c r="R82" s="459">
        <f t="shared" si="25"/>
        <v>23935.192500000001</v>
      </c>
      <c r="S82" s="459">
        <f t="shared" si="26"/>
        <v>119675.96250000001</v>
      </c>
      <c r="T82" s="459">
        <f t="shared" si="27"/>
        <v>11967.596250000002</v>
      </c>
      <c r="U82" s="460"/>
      <c r="V82" s="463">
        <f t="shared" si="31"/>
        <v>0</v>
      </c>
      <c r="W82" s="460"/>
      <c r="X82" s="464">
        <f t="shared" si="32"/>
        <v>0</v>
      </c>
      <c r="Y82" s="454"/>
      <c r="Z82" s="459">
        <f t="shared" si="33"/>
        <v>0</v>
      </c>
      <c r="AA82" s="460"/>
      <c r="AB82" s="459">
        <f t="shared" si="34"/>
        <v>0</v>
      </c>
      <c r="AC82" s="478"/>
      <c r="AD82" s="460"/>
      <c r="AE82" s="459">
        <f t="shared" si="28"/>
        <v>35902.78875</v>
      </c>
      <c r="AF82" s="460"/>
      <c r="AG82" s="464">
        <f t="shared" si="35"/>
        <v>0</v>
      </c>
      <c r="AH82" s="454"/>
      <c r="AI82" s="459"/>
      <c r="AJ82" s="459"/>
      <c r="AK82" s="459">
        <f>S82*40%</f>
        <v>47870.385000000009</v>
      </c>
      <c r="AL82" s="460"/>
      <c r="AM82" s="459">
        <f t="shared" si="29"/>
        <v>215416.73250000004</v>
      </c>
      <c r="AN82" s="459">
        <f t="shared" si="30"/>
        <v>2585000.7900000005</v>
      </c>
      <c r="AO82" s="466"/>
    </row>
    <row r="83" spans="1:41" s="245" customFormat="1" ht="16.5" customHeight="1">
      <c r="A83" s="454">
        <v>65</v>
      </c>
      <c r="B83" s="475" t="s">
        <v>638</v>
      </c>
      <c r="C83" s="475" t="s">
        <v>530</v>
      </c>
      <c r="D83" s="456" t="s">
        <v>37</v>
      </c>
      <c r="E83" s="457" t="s">
        <v>177</v>
      </c>
      <c r="F83" s="476">
        <v>2.11</v>
      </c>
      <c r="G83" s="458">
        <v>4.51</v>
      </c>
      <c r="H83" s="459">
        <f t="shared" ref="H83:H92" si="36">G83*I83*J83</f>
        <v>159626.94</v>
      </c>
      <c r="I83" s="460">
        <v>2</v>
      </c>
      <c r="J83" s="454">
        <v>17697</v>
      </c>
      <c r="K83" s="461">
        <f t="shared" ref="K83:K92" si="37">SUM(L83+N83+P83)/16</f>
        <v>1</v>
      </c>
      <c r="L83" s="462">
        <v>0</v>
      </c>
      <c r="M83" s="462">
        <f t="shared" ref="M83:M92" si="38">G83*I83*J83/16*L83</f>
        <v>0</v>
      </c>
      <c r="N83" s="462">
        <v>10</v>
      </c>
      <c r="O83" s="462">
        <f t="shared" ref="O83:O92" si="39">G83*I83*J83/16*N83</f>
        <v>99766.837499999994</v>
      </c>
      <c r="P83" s="462">
        <v>6</v>
      </c>
      <c r="Q83" s="459">
        <f t="shared" ref="Q83:Q92" si="40">G83*I83*J83/16*P83</f>
        <v>59860.102500000001</v>
      </c>
      <c r="R83" s="459">
        <f t="shared" ref="R83:R92" si="41">(M83+O83+Q83)*25%</f>
        <v>39906.735000000001</v>
      </c>
      <c r="S83" s="459">
        <f t="shared" ref="S83:S92" si="42">M83+O83+Q83+R83</f>
        <v>199533.67499999999</v>
      </c>
      <c r="T83" s="459">
        <f t="shared" ref="T83:T92" si="43">S83*0.1</f>
        <v>19953.3675</v>
      </c>
      <c r="U83" s="460"/>
      <c r="V83" s="463">
        <f t="shared" si="31"/>
        <v>0</v>
      </c>
      <c r="W83" s="460"/>
      <c r="X83" s="464">
        <f t="shared" si="32"/>
        <v>0</v>
      </c>
      <c r="Y83" s="454"/>
      <c r="Z83" s="459">
        <f t="shared" si="33"/>
        <v>0</v>
      </c>
      <c r="AA83" s="460"/>
      <c r="AB83" s="459">
        <f t="shared" si="34"/>
        <v>0</v>
      </c>
      <c r="AC83" s="477">
        <v>36920</v>
      </c>
      <c r="AD83" s="460"/>
      <c r="AE83" s="459">
        <f t="shared" ref="AE83:AE92" si="44">S83*0.3</f>
        <v>59860.102499999994</v>
      </c>
      <c r="AF83" s="460"/>
      <c r="AG83" s="464">
        <f t="shared" si="35"/>
        <v>0</v>
      </c>
      <c r="AH83" s="454">
        <v>3539</v>
      </c>
      <c r="AI83" s="459">
        <f>S83*30%</f>
        <v>59860.102499999994</v>
      </c>
      <c r="AJ83" s="459"/>
      <c r="AK83" s="459"/>
      <c r="AL83" s="460"/>
      <c r="AM83" s="459">
        <f t="shared" ref="AM83:AM92" si="45">S83+T83+V83+X83+Z83+AB83+AC83+AD83+AE83+AG83+AH83+AI83+AJ83+AK83+AL83</f>
        <v>379666.24749999994</v>
      </c>
      <c r="AN83" s="459">
        <f t="shared" ref="AN83:AN92" si="46">AM83*12</f>
        <v>4555994.9699999988</v>
      </c>
      <c r="AO83" s="466"/>
    </row>
    <row r="84" spans="1:41" s="245" customFormat="1" ht="16.5" customHeight="1">
      <c r="A84" s="454">
        <v>66</v>
      </c>
      <c r="B84" s="475" t="s">
        <v>561</v>
      </c>
      <c r="C84" s="455" t="s">
        <v>481</v>
      </c>
      <c r="D84" s="456" t="s">
        <v>37</v>
      </c>
      <c r="E84" s="457" t="s">
        <v>178</v>
      </c>
      <c r="F84" s="476">
        <v>23</v>
      </c>
      <c r="G84" s="458">
        <v>5.12</v>
      </c>
      <c r="H84" s="459">
        <f t="shared" si="36"/>
        <v>181217.28</v>
      </c>
      <c r="I84" s="460">
        <v>2</v>
      </c>
      <c r="J84" s="454">
        <v>17697</v>
      </c>
      <c r="K84" s="461">
        <f t="shared" si="37"/>
        <v>1.0625</v>
      </c>
      <c r="L84" s="462">
        <v>17</v>
      </c>
      <c r="M84" s="462">
        <f t="shared" si="38"/>
        <v>192543.35999999999</v>
      </c>
      <c r="N84" s="462">
        <v>0</v>
      </c>
      <c r="O84" s="462">
        <f t="shared" si="39"/>
        <v>0</v>
      </c>
      <c r="P84" s="462">
        <v>0</v>
      </c>
      <c r="Q84" s="459">
        <f t="shared" si="40"/>
        <v>0</v>
      </c>
      <c r="R84" s="459">
        <f t="shared" si="41"/>
        <v>48135.839999999997</v>
      </c>
      <c r="S84" s="459">
        <f t="shared" si="42"/>
        <v>240679.19999999998</v>
      </c>
      <c r="T84" s="459">
        <f t="shared" si="43"/>
        <v>24067.919999999998</v>
      </c>
      <c r="U84" s="460">
        <v>1</v>
      </c>
      <c r="V84" s="463">
        <f t="shared" si="31"/>
        <v>8848.5</v>
      </c>
      <c r="W84" s="460"/>
      <c r="X84" s="464">
        <f t="shared" si="32"/>
        <v>0</v>
      </c>
      <c r="Y84" s="454">
        <v>9</v>
      </c>
      <c r="Z84" s="459">
        <f t="shared" si="33"/>
        <v>3981.8250000000003</v>
      </c>
      <c r="AA84" s="460"/>
      <c r="AB84" s="459">
        <f t="shared" si="34"/>
        <v>0</v>
      </c>
      <c r="AC84" s="477"/>
      <c r="AD84" s="460"/>
      <c r="AE84" s="459">
        <f t="shared" si="44"/>
        <v>72203.759999999995</v>
      </c>
      <c r="AF84" s="460"/>
      <c r="AG84" s="464">
        <f t="shared" si="35"/>
        <v>0</v>
      </c>
      <c r="AH84" s="454"/>
      <c r="AI84" s="459"/>
      <c r="AJ84" s="459">
        <f>S84*35%</f>
        <v>84237.719999999987</v>
      </c>
      <c r="AK84" s="459"/>
      <c r="AL84" s="460"/>
      <c r="AM84" s="459">
        <f t="shared" si="45"/>
        <v>434018.92499999999</v>
      </c>
      <c r="AN84" s="459">
        <f t="shared" si="46"/>
        <v>5208227.0999999996</v>
      </c>
      <c r="AO84" s="466"/>
    </row>
    <row r="85" spans="1:41" s="245" customFormat="1" ht="16.5" customHeight="1">
      <c r="A85" s="454">
        <v>67</v>
      </c>
      <c r="B85" s="475" t="s">
        <v>562</v>
      </c>
      <c r="C85" s="475" t="s">
        <v>568</v>
      </c>
      <c r="D85" s="456" t="s">
        <v>37</v>
      </c>
      <c r="E85" s="457" t="s">
        <v>174</v>
      </c>
      <c r="F85" s="476">
        <v>18</v>
      </c>
      <c r="G85" s="458">
        <v>5.24</v>
      </c>
      <c r="H85" s="459">
        <f t="shared" si="36"/>
        <v>185464.56</v>
      </c>
      <c r="I85" s="460">
        <v>2</v>
      </c>
      <c r="J85" s="454">
        <v>17697</v>
      </c>
      <c r="K85" s="461">
        <f t="shared" si="37"/>
        <v>1.5</v>
      </c>
      <c r="L85" s="462">
        <v>0</v>
      </c>
      <c r="M85" s="462">
        <f t="shared" si="38"/>
        <v>0</v>
      </c>
      <c r="N85" s="462">
        <v>24</v>
      </c>
      <c r="O85" s="462">
        <f t="shared" si="39"/>
        <v>278196.83999999997</v>
      </c>
      <c r="P85" s="462">
        <v>0</v>
      </c>
      <c r="Q85" s="459">
        <f t="shared" si="40"/>
        <v>0</v>
      </c>
      <c r="R85" s="459">
        <f t="shared" si="41"/>
        <v>69549.209999999992</v>
      </c>
      <c r="S85" s="459">
        <f t="shared" si="42"/>
        <v>347746.04999999993</v>
      </c>
      <c r="T85" s="459">
        <f t="shared" si="43"/>
        <v>34774.604999999996</v>
      </c>
      <c r="U85" s="460"/>
      <c r="V85" s="463">
        <f t="shared" si="31"/>
        <v>0</v>
      </c>
      <c r="W85" s="460">
        <v>1</v>
      </c>
      <c r="X85" s="464">
        <f t="shared" si="32"/>
        <v>10618.199999999999</v>
      </c>
      <c r="Y85" s="454"/>
      <c r="Z85" s="459">
        <f t="shared" si="33"/>
        <v>0</v>
      </c>
      <c r="AA85" s="460"/>
      <c r="AB85" s="459">
        <f t="shared" si="34"/>
        <v>0</v>
      </c>
      <c r="AC85" s="477"/>
      <c r="AD85" s="460"/>
      <c r="AE85" s="459">
        <f t="shared" si="44"/>
        <v>104323.81499999997</v>
      </c>
      <c r="AF85" s="460"/>
      <c r="AG85" s="464">
        <f t="shared" si="35"/>
        <v>0</v>
      </c>
      <c r="AH85" s="454">
        <v>3539</v>
      </c>
      <c r="AI85" s="459"/>
      <c r="AJ85" s="459"/>
      <c r="AK85" s="459">
        <f>S85*40%</f>
        <v>139098.41999999998</v>
      </c>
      <c r="AL85" s="460"/>
      <c r="AM85" s="459">
        <f t="shared" si="45"/>
        <v>640100.08999999985</v>
      </c>
      <c r="AN85" s="459">
        <f t="shared" si="46"/>
        <v>7681201.0799999982</v>
      </c>
      <c r="AO85" s="466"/>
    </row>
    <row r="86" spans="1:41" s="245" customFormat="1" ht="16.5" customHeight="1">
      <c r="A86" s="454">
        <v>68</v>
      </c>
      <c r="B86" s="475" t="s">
        <v>563</v>
      </c>
      <c r="C86" s="475" t="s">
        <v>487</v>
      </c>
      <c r="D86" s="456" t="s">
        <v>37</v>
      </c>
      <c r="E86" s="457" t="s">
        <v>178</v>
      </c>
      <c r="F86" s="480">
        <v>29.1</v>
      </c>
      <c r="G86" s="473">
        <v>5.2</v>
      </c>
      <c r="H86" s="459">
        <f t="shared" si="36"/>
        <v>184048.80000000002</v>
      </c>
      <c r="I86" s="460">
        <v>2</v>
      </c>
      <c r="J86" s="454">
        <v>17697</v>
      </c>
      <c r="K86" s="461">
        <f t="shared" si="37"/>
        <v>1.25</v>
      </c>
      <c r="L86" s="462">
        <v>0</v>
      </c>
      <c r="M86" s="462">
        <f t="shared" si="38"/>
        <v>0</v>
      </c>
      <c r="N86" s="462">
        <v>20</v>
      </c>
      <c r="O86" s="462">
        <f t="shared" si="39"/>
        <v>230061.00000000003</v>
      </c>
      <c r="P86" s="462">
        <v>0</v>
      </c>
      <c r="Q86" s="459">
        <f t="shared" si="40"/>
        <v>0</v>
      </c>
      <c r="R86" s="459">
        <f t="shared" si="41"/>
        <v>57515.250000000007</v>
      </c>
      <c r="S86" s="459">
        <f t="shared" si="42"/>
        <v>287576.25000000006</v>
      </c>
      <c r="T86" s="459">
        <f t="shared" si="43"/>
        <v>28757.625000000007</v>
      </c>
      <c r="U86" s="460"/>
      <c r="V86" s="463">
        <f t="shared" si="31"/>
        <v>0</v>
      </c>
      <c r="W86" s="460"/>
      <c r="X86" s="464">
        <f t="shared" si="32"/>
        <v>0</v>
      </c>
      <c r="Y86" s="454">
        <v>20</v>
      </c>
      <c r="Z86" s="459">
        <f t="shared" si="33"/>
        <v>8848.5</v>
      </c>
      <c r="AA86" s="460"/>
      <c r="AB86" s="459">
        <f t="shared" si="34"/>
        <v>0</v>
      </c>
      <c r="AC86" s="477"/>
      <c r="AD86" s="460"/>
      <c r="AE86" s="459">
        <f t="shared" si="44"/>
        <v>86272.875000000015</v>
      </c>
      <c r="AF86" s="460"/>
      <c r="AG86" s="464">
        <f t="shared" si="35"/>
        <v>0</v>
      </c>
      <c r="AH86" s="454"/>
      <c r="AI86" s="459"/>
      <c r="AJ86" s="459">
        <f>S86*35%</f>
        <v>100651.68750000001</v>
      </c>
      <c r="AK86" s="459"/>
      <c r="AL86" s="460"/>
      <c r="AM86" s="459">
        <f t="shared" si="45"/>
        <v>512106.93750000006</v>
      </c>
      <c r="AN86" s="459">
        <f t="shared" si="46"/>
        <v>6145283.2500000009</v>
      </c>
      <c r="AO86" s="466"/>
    </row>
    <row r="87" spans="1:41" s="245" customFormat="1" ht="16.5" customHeight="1">
      <c r="A87" s="454">
        <v>69</v>
      </c>
      <c r="B87" s="455" t="s">
        <v>564</v>
      </c>
      <c r="C87" s="455" t="s">
        <v>487</v>
      </c>
      <c r="D87" s="456" t="s">
        <v>37</v>
      </c>
      <c r="E87" s="457" t="s">
        <v>177</v>
      </c>
      <c r="F87" s="457">
        <v>2.11</v>
      </c>
      <c r="G87" s="458">
        <v>4.51</v>
      </c>
      <c r="H87" s="459">
        <f t="shared" si="36"/>
        <v>159626.94</v>
      </c>
      <c r="I87" s="460">
        <v>2</v>
      </c>
      <c r="J87" s="454">
        <v>17697</v>
      </c>
      <c r="K87" s="461">
        <f t="shared" si="37"/>
        <v>1.375</v>
      </c>
      <c r="L87" s="462">
        <v>0</v>
      </c>
      <c r="M87" s="462">
        <f t="shared" si="38"/>
        <v>0</v>
      </c>
      <c r="N87" s="462">
        <v>18</v>
      </c>
      <c r="O87" s="462">
        <f t="shared" si="39"/>
        <v>179580.3075</v>
      </c>
      <c r="P87" s="462">
        <v>4</v>
      </c>
      <c r="Q87" s="459">
        <f t="shared" si="40"/>
        <v>39906.735000000001</v>
      </c>
      <c r="R87" s="459">
        <f t="shared" si="41"/>
        <v>54871.760624999995</v>
      </c>
      <c r="S87" s="459">
        <f t="shared" si="42"/>
        <v>274358.80312499998</v>
      </c>
      <c r="T87" s="459">
        <f t="shared" si="43"/>
        <v>27435.880312499998</v>
      </c>
      <c r="U87" s="460"/>
      <c r="V87" s="463">
        <f t="shared" si="31"/>
        <v>0</v>
      </c>
      <c r="W87" s="460">
        <v>1</v>
      </c>
      <c r="X87" s="464">
        <f t="shared" si="32"/>
        <v>10618.199999999999</v>
      </c>
      <c r="Y87" s="454">
        <v>19</v>
      </c>
      <c r="Z87" s="459">
        <f t="shared" si="33"/>
        <v>8406.0750000000007</v>
      </c>
      <c r="AA87" s="460"/>
      <c r="AB87" s="459">
        <f t="shared" si="34"/>
        <v>0</v>
      </c>
      <c r="AC87" s="477"/>
      <c r="AD87" s="460"/>
      <c r="AE87" s="459">
        <f t="shared" si="44"/>
        <v>82307.640937499993</v>
      </c>
      <c r="AF87" s="460"/>
      <c r="AG87" s="464">
        <f t="shared" si="35"/>
        <v>0</v>
      </c>
      <c r="AH87" s="454"/>
      <c r="AI87" s="459">
        <f>S87*30%</f>
        <v>82307.640937499993</v>
      </c>
      <c r="AJ87" s="459"/>
      <c r="AK87" s="459"/>
      <c r="AL87" s="460"/>
      <c r="AM87" s="459">
        <f t="shared" si="45"/>
        <v>485434.24031249998</v>
      </c>
      <c r="AN87" s="459">
        <f t="shared" si="46"/>
        <v>5825210.88375</v>
      </c>
      <c r="AO87" s="466"/>
    </row>
    <row r="88" spans="1:41" s="245" customFormat="1" ht="16.5" customHeight="1">
      <c r="A88" s="454">
        <v>70</v>
      </c>
      <c r="B88" s="455" t="s">
        <v>627</v>
      </c>
      <c r="C88" s="455" t="s">
        <v>510</v>
      </c>
      <c r="D88" s="456" t="s">
        <v>37</v>
      </c>
      <c r="E88" s="457" t="s">
        <v>175</v>
      </c>
      <c r="F88" s="458">
        <v>11.11</v>
      </c>
      <c r="G88" s="458">
        <v>4.38</v>
      </c>
      <c r="H88" s="459">
        <f t="shared" si="36"/>
        <v>155025.72</v>
      </c>
      <c r="I88" s="460">
        <v>2</v>
      </c>
      <c r="J88" s="454">
        <v>17697</v>
      </c>
      <c r="K88" s="461">
        <f t="shared" si="37"/>
        <v>0.375</v>
      </c>
      <c r="L88" s="462">
        <v>0</v>
      </c>
      <c r="M88" s="462">
        <f t="shared" si="38"/>
        <v>0</v>
      </c>
      <c r="N88" s="462">
        <v>6</v>
      </c>
      <c r="O88" s="462">
        <f t="shared" si="39"/>
        <v>58134.645000000004</v>
      </c>
      <c r="P88" s="462">
        <v>0</v>
      </c>
      <c r="Q88" s="459">
        <f t="shared" si="40"/>
        <v>0</v>
      </c>
      <c r="R88" s="459">
        <f t="shared" si="41"/>
        <v>14533.661250000001</v>
      </c>
      <c r="S88" s="459">
        <f t="shared" si="42"/>
        <v>72668.306250000009</v>
      </c>
      <c r="T88" s="459">
        <f t="shared" si="43"/>
        <v>7266.8306250000014</v>
      </c>
      <c r="U88" s="460"/>
      <c r="V88" s="463">
        <f t="shared" si="31"/>
        <v>0</v>
      </c>
      <c r="W88" s="460"/>
      <c r="X88" s="464">
        <f t="shared" si="32"/>
        <v>0</v>
      </c>
      <c r="Y88" s="454"/>
      <c r="Z88" s="459">
        <f t="shared" si="33"/>
        <v>0</v>
      </c>
      <c r="AA88" s="460"/>
      <c r="AB88" s="459">
        <f t="shared" si="34"/>
        <v>0</v>
      </c>
      <c r="AC88" s="478"/>
      <c r="AD88" s="460"/>
      <c r="AE88" s="459">
        <f t="shared" si="44"/>
        <v>21800.491875000003</v>
      </c>
      <c r="AF88" s="460"/>
      <c r="AG88" s="464">
        <f t="shared" si="35"/>
        <v>0</v>
      </c>
      <c r="AH88" s="454"/>
      <c r="AI88" s="459"/>
      <c r="AJ88" s="459"/>
      <c r="AK88" s="459"/>
      <c r="AL88" s="460"/>
      <c r="AM88" s="459">
        <f t="shared" si="45"/>
        <v>101735.62875000002</v>
      </c>
      <c r="AN88" s="459">
        <f t="shared" si="46"/>
        <v>1220827.5450000002</v>
      </c>
      <c r="AO88" s="466"/>
    </row>
    <row r="89" spans="1:41" s="482" customFormat="1" ht="16.5" customHeight="1">
      <c r="A89" s="454">
        <v>71</v>
      </c>
      <c r="B89" s="475" t="s">
        <v>506</v>
      </c>
      <c r="C89" s="475" t="s">
        <v>481</v>
      </c>
      <c r="D89" s="456" t="s">
        <v>37</v>
      </c>
      <c r="E89" s="457" t="s">
        <v>175</v>
      </c>
      <c r="F89" s="480">
        <v>5.0999999999999996</v>
      </c>
      <c r="G89" s="480">
        <v>4.2699999999999996</v>
      </c>
      <c r="H89" s="459">
        <f t="shared" si="36"/>
        <v>151132.37999999998</v>
      </c>
      <c r="I89" s="460">
        <v>2</v>
      </c>
      <c r="J89" s="454">
        <v>17697</v>
      </c>
      <c r="K89" s="461">
        <f t="shared" si="37"/>
        <v>0.3125</v>
      </c>
      <c r="L89" s="462">
        <v>5</v>
      </c>
      <c r="M89" s="462">
        <f t="shared" si="38"/>
        <v>47228.868749999994</v>
      </c>
      <c r="N89" s="462">
        <v>0</v>
      </c>
      <c r="O89" s="462">
        <f t="shared" si="39"/>
        <v>0</v>
      </c>
      <c r="P89" s="462">
        <v>0</v>
      </c>
      <c r="Q89" s="459">
        <f t="shared" si="40"/>
        <v>0</v>
      </c>
      <c r="R89" s="459">
        <f t="shared" si="41"/>
        <v>11807.217187499999</v>
      </c>
      <c r="S89" s="459">
        <f t="shared" si="42"/>
        <v>59036.085937499993</v>
      </c>
      <c r="T89" s="459">
        <f t="shared" si="43"/>
        <v>5903.6085937499993</v>
      </c>
      <c r="U89" s="460"/>
      <c r="V89" s="463">
        <f t="shared" si="31"/>
        <v>0</v>
      </c>
      <c r="W89" s="460"/>
      <c r="X89" s="464">
        <f t="shared" si="32"/>
        <v>0</v>
      </c>
      <c r="Y89" s="454"/>
      <c r="Z89" s="459">
        <f t="shared" si="33"/>
        <v>0</v>
      </c>
      <c r="AA89" s="460"/>
      <c r="AB89" s="459">
        <f t="shared" si="34"/>
        <v>0</v>
      </c>
      <c r="AC89" s="478"/>
      <c r="AD89" s="460"/>
      <c r="AE89" s="459">
        <f t="shared" si="44"/>
        <v>17710.825781249998</v>
      </c>
      <c r="AF89" s="460"/>
      <c r="AG89" s="464">
        <f t="shared" si="35"/>
        <v>0</v>
      </c>
      <c r="AH89" s="454"/>
      <c r="AI89" s="459"/>
      <c r="AJ89" s="459"/>
      <c r="AK89" s="459"/>
      <c r="AL89" s="460"/>
      <c r="AM89" s="459">
        <f t="shared" si="45"/>
        <v>82650.520312499983</v>
      </c>
      <c r="AN89" s="459">
        <f t="shared" si="46"/>
        <v>991806.24374999979</v>
      </c>
      <c r="AO89" s="481"/>
    </row>
    <row r="90" spans="1:41" s="482" customFormat="1" ht="16.5" customHeight="1">
      <c r="A90" s="454">
        <v>72</v>
      </c>
      <c r="B90" s="475" t="s">
        <v>565</v>
      </c>
      <c r="C90" s="475" t="s">
        <v>484</v>
      </c>
      <c r="D90" s="456" t="s">
        <v>37</v>
      </c>
      <c r="E90" s="457" t="s">
        <v>177</v>
      </c>
      <c r="F90" s="476">
        <v>19.3</v>
      </c>
      <c r="G90" s="480">
        <v>4.99</v>
      </c>
      <c r="H90" s="459">
        <f t="shared" si="36"/>
        <v>176616.06</v>
      </c>
      <c r="I90" s="460">
        <v>2</v>
      </c>
      <c r="J90" s="454">
        <v>17697</v>
      </c>
      <c r="K90" s="461">
        <f t="shared" si="37"/>
        <v>1.4375</v>
      </c>
      <c r="L90" s="462"/>
      <c r="M90" s="462">
        <f t="shared" si="38"/>
        <v>0</v>
      </c>
      <c r="N90" s="462">
        <v>23</v>
      </c>
      <c r="O90" s="462">
        <f t="shared" si="39"/>
        <v>253885.58624999999</v>
      </c>
      <c r="P90" s="462">
        <v>0</v>
      </c>
      <c r="Q90" s="459">
        <f t="shared" si="40"/>
        <v>0</v>
      </c>
      <c r="R90" s="459">
        <f t="shared" si="41"/>
        <v>63471.396562499998</v>
      </c>
      <c r="S90" s="459">
        <f t="shared" si="42"/>
        <v>317356.98281249998</v>
      </c>
      <c r="T90" s="459">
        <f t="shared" si="43"/>
        <v>31735.698281249999</v>
      </c>
      <c r="U90" s="460"/>
      <c r="V90" s="463">
        <f t="shared" si="31"/>
        <v>0</v>
      </c>
      <c r="W90" s="460"/>
      <c r="X90" s="464">
        <f t="shared" si="32"/>
        <v>0</v>
      </c>
      <c r="Y90" s="454"/>
      <c r="Z90" s="459">
        <f t="shared" si="33"/>
        <v>0</v>
      </c>
      <c r="AA90" s="460">
        <v>9</v>
      </c>
      <c r="AB90" s="459">
        <f t="shared" si="34"/>
        <v>4977.28125</v>
      </c>
      <c r="AC90" s="477"/>
      <c r="AD90" s="460"/>
      <c r="AE90" s="459">
        <f t="shared" si="44"/>
        <v>95207.09484374999</v>
      </c>
      <c r="AF90" s="460"/>
      <c r="AG90" s="464">
        <f t="shared" si="35"/>
        <v>0</v>
      </c>
      <c r="AH90" s="454"/>
      <c r="AI90" s="459">
        <f>S90*30%</f>
        <v>95207.09484374999</v>
      </c>
      <c r="AJ90" s="459"/>
      <c r="AK90" s="459"/>
      <c r="AL90" s="460"/>
      <c r="AM90" s="459">
        <f t="shared" si="45"/>
        <v>544484.15203124995</v>
      </c>
      <c r="AN90" s="459">
        <f t="shared" si="46"/>
        <v>6533809.8243749999</v>
      </c>
      <c r="AO90" s="481"/>
    </row>
    <row r="91" spans="1:41" s="482" customFormat="1" ht="16.5" customHeight="1">
      <c r="A91" s="454">
        <v>73</v>
      </c>
      <c r="B91" s="475" t="s">
        <v>566</v>
      </c>
      <c r="C91" s="475" t="s">
        <v>487</v>
      </c>
      <c r="D91" s="456" t="s">
        <v>37</v>
      </c>
      <c r="E91" s="457" t="s">
        <v>175</v>
      </c>
      <c r="F91" s="476">
        <v>2</v>
      </c>
      <c r="G91" s="480">
        <v>4.1900000000000004</v>
      </c>
      <c r="H91" s="459">
        <f t="shared" si="36"/>
        <v>148300.86000000002</v>
      </c>
      <c r="I91" s="460">
        <v>2</v>
      </c>
      <c r="J91" s="454">
        <v>17697</v>
      </c>
      <c r="K91" s="461">
        <f t="shared" si="37"/>
        <v>1.125</v>
      </c>
      <c r="L91" s="462">
        <v>0</v>
      </c>
      <c r="M91" s="462">
        <f t="shared" si="38"/>
        <v>0</v>
      </c>
      <c r="N91" s="462">
        <v>18</v>
      </c>
      <c r="O91" s="462">
        <f t="shared" si="39"/>
        <v>166838.46750000003</v>
      </c>
      <c r="P91" s="462">
        <v>0</v>
      </c>
      <c r="Q91" s="459">
        <f t="shared" si="40"/>
        <v>0</v>
      </c>
      <c r="R91" s="459">
        <f t="shared" si="41"/>
        <v>41709.616875000007</v>
      </c>
      <c r="S91" s="459">
        <f t="shared" si="42"/>
        <v>208548.08437500003</v>
      </c>
      <c r="T91" s="459">
        <f t="shared" si="43"/>
        <v>20854.808437500003</v>
      </c>
      <c r="U91" s="460"/>
      <c r="V91" s="463">
        <f t="shared" si="31"/>
        <v>0</v>
      </c>
      <c r="W91" s="460">
        <v>1</v>
      </c>
      <c r="X91" s="464">
        <f t="shared" si="32"/>
        <v>10618.199999999999</v>
      </c>
      <c r="Y91" s="454">
        <v>15</v>
      </c>
      <c r="Z91" s="459">
        <f t="shared" si="33"/>
        <v>6636.375</v>
      </c>
      <c r="AA91" s="460"/>
      <c r="AB91" s="459">
        <f t="shared" si="34"/>
        <v>0</v>
      </c>
      <c r="AC91" s="477"/>
      <c r="AD91" s="460"/>
      <c r="AE91" s="459">
        <f t="shared" si="44"/>
        <v>62564.42531250001</v>
      </c>
      <c r="AF91" s="460"/>
      <c r="AG91" s="464">
        <f t="shared" si="35"/>
        <v>0</v>
      </c>
      <c r="AH91" s="454"/>
      <c r="AI91" s="459"/>
      <c r="AJ91" s="459"/>
      <c r="AK91" s="459"/>
      <c r="AL91" s="460"/>
      <c r="AM91" s="459">
        <f t="shared" si="45"/>
        <v>309221.89312500006</v>
      </c>
      <c r="AN91" s="459">
        <f t="shared" si="46"/>
        <v>3710662.7175000007</v>
      </c>
      <c r="AO91" s="481"/>
    </row>
    <row r="92" spans="1:41" s="274" customFormat="1" ht="16.5" customHeight="1">
      <c r="A92" s="454">
        <v>74</v>
      </c>
      <c r="B92" s="455" t="s">
        <v>495</v>
      </c>
      <c r="C92" s="455" t="s">
        <v>568</v>
      </c>
      <c r="D92" s="457" t="s">
        <v>37</v>
      </c>
      <c r="E92" s="457" t="s">
        <v>174</v>
      </c>
      <c r="F92" s="457">
        <v>25</v>
      </c>
      <c r="G92" s="458">
        <v>5.41</v>
      </c>
      <c r="H92" s="459">
        <f t="shared" si="36"/>
        <v>191481.54</v>
      </c>
      <c r="I92" s="460">
        <v>2</v>
      </c>
      <c r="J92" s="454">
        <v>17697</v>
      </c>
      <c r="K92" s="461">
        <f t="shared" si="37"/>
        <v>1.0625</v>
      </c>
      <c r="L92" s="462">
        <v>1</v>
      </c>
      <c r="M92" s="462">
        <f t="shared" si="38"/>
        <v>11967.596250000001</v>
      </c>
      <c r="N92" s="462">
        <v>14</v>
      </c>
      <c r="O92" s="462">
        <f t="shared" si="39"/>
        <v>167546.3475</v>
      </c>
      <c r="P92" s="462">
        <v>2</v>
      </c>
      <c r="Q92" s="459">
        <f t="shared" si="40"/>
        <v>23935.192500000001</v>
      </c>
      <c r="R92" s="459">
        <f t="shared" si="41"/>
        <v>50862.284062500003</v>
      </c>
      <c r="S92" s="459">
        <f t="shared" si="42"/>
        <v>254311.42031250001</v>
      </c>
      <c r="T92" s="459">
        <f t="shared" si="43"/>
        <v>25431.142031250001</v>
      </c>
      <c r="U92" s="460"/>
      <c r="V92" s="463">
        <f t="shared" si="31"/>
        <v>0</v>
      </c>
      <c r="W92" s="460"/>
      <c r="X92" s="464">
        <f t="shared" si="32"/>
        <v>0</v>
      </c>
      <c r="Y92" s="454"/>
      <c r="Z92" s="459">
        <f t="shared" si="33"/>
        <v>0</v>
      </c>
      <c r="AA92" s="460"/>
      <c r="AB92" s="459">
        <f t="shared" si="34"/>
        <v>0</v>
      </c>
      <c r="AC92" s="465"/>
      <c r="AD92" s="460"/>
      <c r="AE92" s="459">
        <f t="shared" si="44"/>
        <v>76293.426093749993</v>
      </c>
      <c r="AF92" s="460"/>
      <c r="AG92" s="464">
        <f t="shared" si="35"/>
        <v>0</v>
      </c>
      <c r="AH92" s="454">
        <v>3539</v>
      </c>
      <c r="AI92" s="459"/>
      <c r="AJ92" s="459"/>
      <c r="AK92" s="459">
        <f>S92*40%</f>
        <v>101724.56812500001</v>
      </c>
      <c r="AL92" s="460"/>
      <c r="AM92" s="459">
        <f t="shared" si="45"/>
        <v>461299.55656250002</v>
      </c>
      <c r="AN92" s="459">
        <f t="shared" si="46"/>
        <v>5535594.67875</v>
      </c>
    </row>
    <row r="93" spans="1:41" s="274" customFormat="1" ht="17.25" customHeight="1">
      <c r="G93" s="303"/>
      <c r="H93" s="307"/>
      <c r="I93" s="306"/>
      <c r="J93" s="310"/>
      <c r="K93" s="276"/>
      <c r="M93" s="275"/>
      <c r="N93" s="277"/>
      <c r="O93" s="275"/>
      <c r="P93" s="277"/>
      <c r="Q93" s="275"/>
      <c r="S93" s="275"/>
      <c r="AM93" s="275"/>
      <c r="AN93" s="275"/>
    </row>
    <row r="94" spans="1:41" s="245" customFormat="1" ht="15.75" customHeight="1">
      <c r="A94" s="278"/>
      <c r="G94" s="303"/>
      <c r="H94" s="307"/>
      <c r="I94" s="306"/>
      <c r="J94" s="311"/>
      <c r="K94" s="237"/>
      <c r="L94" s="237"/>
      <c r="M94" s="254"/>
      <c r="N94" s="237"/>
      <c r="O94" s="254"/>
      <c r="P94" s="237"/>
      <c r="Q94" s="254"/>
      <c r="R94" s="237"/>
      <c r="S94" s="254"/>
      <c r="T94" s="237"/>
      <c r="Y94" s="353"/>
      <c r="AA94" s="352" t="s">
        <v>622</v>
      </c>
      <c r="AB94" s="243"/>
      <c r="AC94" s="243"/>
      <c r="AD94" s="182"/>
      <c r="AE94" s="190"/>
      <c r="AF94" s="275"/>
      <c r="AG94" s="275"/>
      <c r="AH94" s="278"/>
      <c r="AI94" s="278"/>
      <c r="AJ94" s="278"/>
      <c r="AK94" s="278"/>
      <c r="AL94" s="278"/>
      <c r="AM94" s="246"/>
      <c r="AN94" s="244"/>
    </row>
    <row r="95" spans="1:41" s="245" customFormat="1" ht="3" customHeight="1">
      <c r="A95" s="278"/>
      <c r="G95" s="303"/>
      <c r="H95" s="307"/>
      <c r="I95" s="306"/>
      <c r="J95" s="311"/>
      <c r="K95" s="237"/>
      <c r="L95" s="237"/>
      <c r="M95" s="254"/>
      <c r="N95" s="282"/>
      <c r="O95" s="254"/>
      <c r="P95" s="282"/>
      <c r="Q95" s="254"/>
      <c r="R95" s="237"/>
      <c r="S95" s="254"/>
      <c r="T95" s="237"/>
      <c r="Y95" s="353"/>
      <c r="AA95" s="274"/>
      <c r="AB95" s="243"/>
      <c r="AC95" s="355"/>
      <c r="AD95" s="182"/>
      <c r="AE95" s="190"/>
      <c r="AF95" s="275"/>
      <c r="AG95" s="275"/>
      <c r="AH95" s="278"/>
      <c r="AI95" s="278"/>
      <c r="AJ95" s="278"/>
      <c r="AK95" s="278"/>
      <c r="AL95" s="278"/>
      <c r="AM95" s="246"/>
      <c r="AN95" s="244"/>
    </row>
    <row r="96" spans="1:41" s="245" customFormat="1" ht="18" customHeight="1">
      <c r="A96" s="278"/>
      <c r="G96" s="303"/>
      <c r="H96" s="307"/>
      <c r="I96" s="306"/>
      <c r="J96" s="254"/>
      <c r="K96" s="283"/>
      <c r="L96" s="237"/>
      <c r="M96" s="254"/>
      <c r="N96" s="282"/>
      <c r="O96" s="254"/>
      <c r="P96" s="282"/>
      <c r="Q96" s="254"/>
      <c r="R96" s="237"/>
      <c r="S96" s="254"/>
      <c r="T96" s="237"/>
      <c r="Y96" s="353"/>
      <c r="AA96" s="352" t="s">
        <v>670</v>
      </c>
      <c r="AB96" s="243"/>
      <c r="AC96" s="243"/>
      <c r="AD96" s="182"/>
      <c r="AE96" s="190"/>
      <c r="AF96" s="275"/>
      <c r="AG96" s="275"/>
      <c r="AH96" s="278"/>
      <c r="AI96" s="278"/>
      <c r="AJ96" s="278"/>
      <c r="AK96" s="278"/>
      <c r="AL96" s="278"/>
      <c r="AM96" s="246"/>
      <c r="AN96" s="244"/>
    </row>
    <row r="97" spans="1:40" s="245" customFormat="1" ht="3.75" customHeight="1">
      <c r="A97" s="284"/>
      <c r="B97" s="279"/>
      <c r="C97" s="279"/>
      <c r="D97" s="237"/>
      <c r="E97" s="237"/>
      <c r="F97" s="280"/>
      <c r="G97" s="281"/>
      <c r="H97" s="254"/>
      <c r="I97" s="265"/>
      <c r="J97" s="254"/>
      <c r="K97" s="285"/>
      <c r="L97" s="237"/>
      <c r="M97" s="254"/>
      <c r="N97" s="282"/>
      <c r="O97" s="254"/>
      <c r="P97" s="282"/>
      <c r="Q97" s="254"/>
      <c r="R97" s="237"/>
      <c r="S97" s="254"/>
      <c r="T97" s="237"/>
      <c r="Y97" s="353"/>
      <c r="AA97" s="273"/>
      <c r="AB97" s="243"/>
      <c r="AC97" s="243"/>
      <c r="AD97" s="20"/>
      <c r="AE97" s="42"/>
      <c r="AF97" s="246"/>
      <c r="AG97" s="246"/>
      <c r="AH97" s="278"/>
      <c r="AI97" s="278"/>
      <c r="AJ97" s="278"/>
      <c r="AK97" s="278"/>
      <c r="AL97" s="278"/>
      <c r="AM97" s="246"/>
      <c r="AN97" s="244"/>
    </row>
    <row r="98" spans="1:40" s="245" customFormat="1" ht="16.5" customHeight="1">
      <c r="A98" s="286"/>
      <c r="B98" s="279"/>
      <c r="C98" s="279"/>
      <c r="D98" s="237"/>
      <c r="E98" s="237"/>
      <c r="F98" s="287"/>
      <c r="G98" s="281"/>
      <c r="H98" s="254"/>
      <c r="I98" s="265"/>
      <c r="J98" s="254"/>
      <c r="K98" s="285"/>
      <c r="L98" s="237"/>
      <c r="M98" s="254"/>
      <c r="N98" s="237"/>
      <c r="O98" s="254"/>
      <c r="P98" s="237"/>
      <c r="Q98" s="254"/>
      <c r="R98" s="237"/>
      <c r="S98" s="254"/>
      <c r="T98" s="237"/>
      <c r="Y98" s="353"/>
      <c r="AA98" s="352" t="s">
        <v>669</v>
      </c>
      <c r="AB98" s="243"/>
      <c r="AC98" s="243"/>
      <c r="AD98" s="20"/>
      <c r="AE98" s="42"/>
      <c r="AF98" s="246"/>
      <c r="AG98" s="246"/>
      <c r="AM98" s="244"/>
      <c r="AN98" s="244"/>
    </row>
    <row r="99" spans="1:40" s="245" customFormat="1" ht="3.75" customHeight="1">
      <c r="A99" s="286"/>
      <c r="B99" s="289"/>
      <c r="C99" s="289"/>
      <c r="E99" s="237"/>
      <c r="F99" s="287"/>
      <c r="G99" s="290"/>
      <c r="H99" s="244"/>
      <c r="I99" s="291"/>
      <c r="J99" s="244"/>
      <c r="K99" s="292"/>
      <c r="M99" s="244"/>
      <c r="O99" s="244"/>
      <c r="Q99" s="244"/>
      <c r="S99" s="244"/>
      <c r="Y99" s="353"/>
      <c r="AB99" s="243"/>
      <c r="AC99" s="243"/>
      <c r="AD99" s="20"/>
      <c r="AE99" s="42"/>
      <c r="AF99" s="246"/>
      <c r="AG99" s="246"/>
      <c r="AM99" s="244"/>
      <c r="AN99" s="244"/>
    </row>
    <row r="100" spans="1:40" s="245" customFormat="1" ht="15.75" customHeight="1">
      <c r="A100" s="286"/>
      <c r="B100" s="289"/>
      <c r="C100" s="289"/>
      <c r="E100" s="237"/>
      <c r="F100" s="287"/>
      <c r="G100" s="290"/>
      <c r="H100" s="244"/>
      <c r="I100" s="291"/>
      <c r="J100" s="244"/>
      <c r="K100" s="293"/>
      <c r="M100" s="244"/>
      <c r="O100" s="244"/>
      <c r="Q100" s="244"/>
      <c r="S100" s="244"/>
      <c r="V100" s="244"/>
      <c r="W100" s="288"/>
      <c r="Y100" s="244"/>
      <c r="AA100" s="352" t="s">
        <v>640</v>
      </c>
      <c r="AB100" s="244"/>
      <c r="AC100" s="2"/>
      <c r="AD100" s="48"/>
      <c r="AE100" s="41"/>
      <c r="AF100" s="244"/>
      <c r="AG100" s="244"/>
      <c r="AM100" s="244"/>
      <c r="AN100" s="244"/>
    </row>
    <row r="101" spans="1:40" s="245" customFormat="1" ht="15.75">
      <c r="B101" s="289"/>
      <c r="C101" s="289"/>
      <c r="E101" s="237"/>
      <c r="F101" s="280"/>
      <c r="G101" s="290"/>
      <c r="H101" s="244"/>
      <c r="I101" s="291"/>
      <c r="J101" s="244"/>
      <c r="M101" s="244"/>
      <c r="O101" s="244"/>
      <c r="Q101" s="244"/>
      <c r="S101" s="244"/>
      <c r="V101" s="244"/>
      <c r="W101" s="288"/>
      <c r="X101" s="244"/>
      <c r="Y101" s="2"/>
      <c r="Z101" s="48"/>
      <c r="AA101" s="41"/>
      <c r="AB101" s="244"/>
      <c r="AC101" s="244"/>
      <c r="AD101" s="244"/>
      <c r="AM101" s="244"/>
      <c r="AN101" s="244"/>
    </row>
  </sheetData>
  <sortState ref="B22:AN94">
    <sortCondition ref="B22"/>
  </sortState>
  <mergeCells count="43">
    <mergeCell ref="A79:A80"/>
    <mergeCell ref="B79:B80"/>
    <mergeCell ref="C79:C80"/>
    <mergeCell ref="D79:D80"/>
    <mergeCell ref="AN15:AN17"/>
    <mergeCell ref="U16:V16"/>
    <mergeCell ref="W16:X16"/>
    <mergeCell ref="AI16:AI17"/>
    <mergeCell ref="AJ16:AJ17"/>
    <mergeCell ref="AK16:AK17"/>
    <mergeCell ref="AL16:AL17"/>
    <mergeCell ref="AD15:AD17"/>
    <mergeCell ref="AE15:AE17"/>
    <mergeCell ref="AF15:AG16"/>
    <mergeCell ref="AH15:AH17"/>
    <mergeCell ref="AI15:AL15"/>
    <mergeCell ref="AC15:AC17"/>
    <mergeCell ref="R15:R17"/>
    <mergeCell ref="S15:S17"/>
    <mergeCell ref="T15:T17"/>
    <mergeCell ref="U15:X15"/>
    <mergeCell ref="Y15:AB16"/>
    <mergeCell ref="A8:C8"/>
    <mergeCell ref="A11:C11"/>
    <mergeCell ref="AF14:AM14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AM15:AM17"/>
    <mergeCell ref="G8:H8"/>
    <mergeCell ref="G9:H9"/>
    <mergeCell ref="G10:H10"/>
    <mergeCell ref="G11:H11"/>
    <mergeCell ref="L15:Q16"/>
    <mergeCell ref="A13:X13"/>
  </mergeCells>
  <pageMargins left="0.27559055118110237" right="0.23622047244094491" top="0.39370078740157483" bottom="0.15748031496062992" header="0" footer="0"/>
  <pageSetup paperSize="9" scale="50" fitToWidth="4" orientation="landscape" r:id="rId1"/>
  <rowBreaks count="1" manualBreakCount="1">
    <brk id="59" max="39" man="1"/>
  </rowBreaks>
  <colBreaks count="1" manualBreakCount="1">
    <brk id="24" min="7" max="99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AM66"/>
  <sheetViews>
    <sheetView view="pageBreakPreview" topLeftCell="A24" zoomScale="55" zoomScaleNormal="55" zoomScaleSheetLayoutView="55" workbookViewId="0">
      <selection activeCell="Y33" sqref="Y33"/>
    </sheetView>
  </sheetViews>
  <sheetFormatPr defaultColWidth="6.140625" defaultRowHeight="12.75"/>
  <cols>
    <col min="1" max="1" width="6.140625" style="303" customWidth="1"/>
    <col min="2" max="2" width="20.85546875" style="304" customWidth="1"/>
    <col min="3" max="3" width="21.5703125" style="308" customWidth="1"/>
    <col min="4" max="4" width="12.5703125" style="305" customWidth="1"/>
    <col min="5" max="5" width="9.28515625" style="303" customWidth="1"/>
    <col min="6" max="6" width="9.5703125" style="303" customWidth="1"/>
    <col min="7" max="7" width="8.85546875" style="303" customWidth="1"/>
    <col min="8" max="8" width="7" style="307" customWidth="1"/>
    <col min="9" max="9" width="10.7109375" style="306" customWidth="1"/>
    <col min="10" max="10" width="8.42578125" style="303" customWidth="1"/>
    <col min="11" max="11" width="11.42578125" style="306" customWidth="1"/>
    <col min="12" max="12" width="8.85546875" style="306" hidden="1" customWidth="1"/>
    <col min="13" max="13" width="10.5703125" style="306" customWidth="1"/>
    <col min="14" max="14" width="10.28515625" style="306" customWidth="1"/>
    <col min="15" max="15" width="6.140625" style="306" hidden="1" customWidth="1"/>
    <col min="16" max="16" width="10.5703125" style="306" customWidth="1"/>
    <col min="17" max="17" width="9.5703125" style="306" customWidth="1"/>
    <col min="18" max="18" width="9.7109375" style="306" customWidth="1"/>
    <col min="19" max="19" width="10.28515625" style="306" customWidth="1"/>
    <col min="20" max="20" width="9.140625" style="306" customWidth="1"/>
    <col min="21" max="21" width="11.28515625" style="306" customWidth="1"/>
    <col min="22" max="22" width="10.140625" style="306" customWidth="1"/>
    <col min="23" max="23" width="11.7109375" style="306" customWidth="1"/>
    <col min="24" max="24" width="12.42578125" style="306" customWidth="1"/>
    <col min="25" max="25" width="12.140625" style="306" customWidth="1"/>
    <col min="26" max="26" width="13" style="306" customWidth="1"/>
    <col min="27" max="27" width="6.140625" style="303" customWidth="1"/>
    <col min="28" max="28" width="7.28515625" style="303" bestFit="1" customWidth="1"/>
    <col min="29" max="16384" width="6.140625" style="303"/>
  </cols>
  <sheetData>
    <row r="1" spans="1:39" ht="27.75" customHeight="1">
      <c r="A1" s="241" t="s">
        <v>617</v>
      </c>
      <c r="B1" s="245"/>
      <c r="C1" s="240"/>
      <c r="D1" s="240"/>
      <c r="E1" s="254"/>
      <c r="F1" s="254"/>
      <c r="G1" s="237"/>
      <c r="H1" s="281"/>
      <c r="I1" s="237"/>
      <c r="J1" s="237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41" t="s">
        <v>571</v>
      </c>
      <c r="V1" s="237"/>
      <c r="W1" s="237"/>
      <c r="X1" s="240"/>
      <c r="Y1" s="254"/>
      <c r="Z1" s="254"/>
    </row>
    <row r="2" spans="1:39" ht="21" customHeight="1">
      <c r="A2" s="236" t="s">
        <v>572</v>
      </c>
      <c r="B2" s="245"/>
      <c r="C2" s="240"/>
      <c r="D2" s="240"/>
      <c r="E2" s="254"/>
      <c r="F2" s="254"/>
      <c r="G2" s="237"/>
      <c r="H2" s="281"/>
      <c r="I2" s="237"/>
      <c r="J2" s="237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36" t="s">
        <v>572</v>
      </c>
      <c r="V2" s="237"/>
      <c r="W2" s="237"/>
      <c r="X2" s="240"/>
      <c r="Y2" s="254"/>
      <c r="Z2" s="254"/>
    </row>
    <row r="3" spans="1:39" ht="18" customHeight="1">
      <c r="A3" s="241" t="s">
        <v>656</v>
      </c>
      <c r="B3" s="245"/>
      <c r="C3" s="237"/>
      <c r="D3" s="237"/>
      <c r="E3" s="254"/>
      <c r="F3" s="254"/>
      <c r="G3" s="237"/>
      <c r="H3" s="281"/>
      <c r="I3" s="237"/>
      <c r="J3" s="237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41" t="s">
        <v>632</v>
      </c>
      <c r="V3" s="237"/>
      <c r="W3" s="237"/>
      <c r="X3" s="237"/>
      <c r="Y3" s="254"/>
      <c r="Z3" s="254"/>
    </row>
    <row r="4" spans="1:39" ht="18" customHeight="1">
      <c r="A4" s="241" t="s">
        <v>633</v>
      </c>
      <c r="B4" s="245"/>
      <c r="C4" s="237"/>
      <c r="D4" s="237"/>
      <c r="E4" s="254"/>
      <c r="F4" s="254"/>
      <c r="G4" s="237"/>
      <c r="H4" s="281"/>
      <c r="I4" s="237"/>
      <c r="J4" s="237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41" t="s">
        <v>635</v>
      </c>
      <c r="V4" s="237"/>
      <c r="W4" s="237"/>
      <c r="X4" s="237"/>
      <c r="Y4" s="254"/>
      <c r="Z4" s="254"/>
    </row>
    <row r="5" spans="1:39" ht="35.25" customHeight="1">
      <c r="A5" s="241"/>
      <c r="B5" s="237"/>
      <c r="C5" s="237"/>
      <c r="D5" s="237"/>
      <c r="E5" s="254"/>
      <c r="F5" s="254"/>
      <c r="G5" s="237"/>
      <c r="H5" s="281"/>
      <c r="I5" s="237"/>
      <c r="J5" s="237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41" t="s">
        <v>623</v>
      </c>
      <c r="V5" s="237"/>
      <c r="W5" s="237"/>
      <c r="X5" s="237"/>
      <c r="Y5" s="254"/>
      <c r="Z5" s="254"/>
    </row>
    <row r="6" spans="1:39" ht="5.25" customHeight="1">
      <c r="A6" s="237"/>
      <c r="B6" s="156"/>
      <c r="C6" s="279"/>
      <c r="D6" s="320"/>
      <c r="E6" s="321"/>
      <c r="F6" s="254"/>
      <c r="G6" s="237"/>
      <c r="H6" s="281"/>
      <c r="I6" s="237"/>
      <c r="J6" s="237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41"/>
      <c r="V6" s="237"/>
      <c r="W6" s="237"/>
      <c r="X6" s="237"/>
      <c r="Y6" s="254"/>
      <c r="Z6" s="254"/>
    </row>
    <row r="7" spans="1:39" ht="14.25" hidden="1" customHeight="1">
      <c r="A7" s="237"/>
      <c r="B7" s="156"/>
      <c r="C7" s="279"/>
      <c r="D7" s="320"/>
      <c r="E7" s="321"/>
      <c r="F7" s="254"/>
      <c r="G7" s="237"/>
      <c r="H7" s="281"/>
      <c r="I7" s="237"/>
      <c r="J7" s="237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88"/>
      <c r="V7" s="254"/>
      <c r="W7" s="254"/>
      <c r="X7" s="254"/>
      <c r="Y7" s="254"/>
      <c r="Z7" s="254"/>
    </row>
    <row r="8" spans="1:39" ht="13.5" hidden="1" customHeight="1">
      <c r="A8" s="237"/>
      <c r="B8" s="156"/>
      <c r="C8" s="279"/>
      <c r="D8" s="320"/>
      <c r="E8" s="321"/>
      <c r="F8" s="254"/>
      <c r="G8" s="237"/>
      <c r="H8" s="281"/>
      <c r="I8" s="237"/>
      <c r="J8" s="237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88"/>
      <c r="V8" s="254"/>
      <c r="W8" s="254"/>
      <c r="X8" s="254"/>
      <c r="Y8" s="254"/>
      <c r="Z8" s="254"/>
    </row>
    <row r="9" spans="1:39" ht="39.6" customHeight="1">
      <c r="A9" s="550" t="s">
        <v>662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</row>
    <row r="10" spans="1:39" ht="12" customHeight="1">
      <c r="A10" s="237"/>
      <c r="B10" s="279"/>
      <c r="C10" s="156"/>
      <c r="D10" s="320"/>
      <c r="E10" s="237"/>
      <c r="F10" s="237"/>
      <c r="G10" s="237"/>
      <c r="H10" s="281"/>
      <c r="I10" s="254"/>
      <c r="J10" s="237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39" s="161" customFormat="1" ht="28.5" customHeight="1">
      <c r="A11" s="551" t="s">
        <v>22</v>
      </c>
      <c r="B11" s="551" t="s">
        <v>0</v>
      </c>
      <c r="C11" s="551" t="s">
        <v>1</v>
      </c>
      <c r="D11" s="551" t="s">
        <v>59</v>
      </c>
      <c r="E11" s="551" t="s">
        <v>2</v>
      </c>
      <c r="F11" s="551" t="s">
        <v>35</v>
      </c>
      <c r="G11" s="551" t="s">
        <v>36</v>
      </c>
      <c r="H11" s="553" t="s">
        <v>3</v>
      </c>
      <c r="I11" s="544" t="s">
        <v>53</v>
      </c>
      <c r="J11" s="551" t="s">
        <v>51</v>
      </c>
      <c r="K11" s="544" t="s">
        <v>4</v>
      </c>
      <c r="L11" s="544" t="s">
        <v>52</v>
      </c>
      <c r="M11" s="544" t="s">
        <v>42</v>
      </c>
      <c r="N11" s="546" t="s">
        <v>44</v>
      </c>
      <c r="O11" s="547"/>
      <c r="P11" s="547"/>
      <c r="Q11" s="547"/>
      <c r="R11" s="547"/>
      <c r="S11" s="547"/>
      <c r="T11" s="555" t="s">
        <v>44</v>
      </c>
      <c r="U11" s="555"/>
      <c r="V11" s="555"/>
      <c r="W11" s="555"/>
      <c r="X11" s="555"/>
      <c r="Y11" s="544" t="s">
        <v>66</v>
      </c>
      <c r="Z11" s="544" t="s">
        <v>67</v>
      </c>
    </row>
    <row r="12" spans="1:39" s="161" customFormat="1" ht="156" customHeight="1">
      <c r="A12" s="552"/>
      <c r="B12" s="552"/>
      <c r="C12" s="552"/>
      <c r="D12" s="552"/>
      <c r="E12" s="552"/>
      <c r="F12" s="552"/>
      <c r="G12" s="552"/>
      <c r="H12" s="554"/>
      <c r="I12" s="545"/>
      <c r="J12" s="552"/>
      <c r="K12" s="545"/>
      <c r="L12" s="545"/>
      <c r="M12" s="545"/>
      <c r="N12" s="420">
        <v>0.1</v>
      </c>
      <c r="O12" s="420" t="s">
        <v>73</v>
      </c>
      <c r="P12" s="416" t="s">
        <v>48</v>
      </c>
      <c r="Q12" s="416" t="s">
        <v>581</v>
      </c>
      <c r="R12" s="423" t="s">
        <v>667</v>
      </c>
      <c r="S12" s="422" t="s">
        <v>668</v>
      </c>
      <c r="T12" s="417" t="s">
        <v>45</v>
      </c>
      <c r="U12" s="417" t="s">
        <v>46</v>
      </c>
      <c r="V12" s="417" t="s">
        <v>49</v>
      </c>
      <c r="W12" s="417" t="s">
        <v>47</v>
      </c>
      <c r="X12" s="417" t="s">
        <v>614</v>
      </c>
      <c r="Y12" s="545"/>
      <c r="Z12" s="545"/>
    </row>
    <row r="13" spans="1:39" s="160" customFormat="1" ht="29.25" customHeight="1">
      <c r="A13" s="419"/>
      <c r="B13" s="419"/>
      <c r="C13" s="419"/>
      <c r="D13" s="415"/>
      <c r="E13" s="424">
        <f>E14+E15+E16+E17+E18+E19+E20+E21+E22+E23+E24+E25+E26+E27+E28+E29+E30+E31+E32+E33+E34+E35+E36+E37+E38+E39+E40+E41+E42+E43+E44+E45+E46+E47+E48+E49+E50+E51+E52+E53+E54+E55+E56+E57+E58</f>
        <v>43</v>
      </c>
      <c r="F13" s="419"/>
      <c r="G13" s="419"/>
      <c r="H13" s="419"/>
      <c r="I13" s="419"/>
      <c r="J13" s="419"/>
      <c r="K13" s="414">
        <f>SUM(K14:K58)</f>
        <v>5290764.1383000016</v>
      </c>
      <c r="L13" s="414">
        <f t="shared" ref="L13:Z13" si="0">SUM(L14:L58)</f>
        <v>0</v>
      </c>
      <c r="M13" s="414">
        <f t="shared" si="0"/>
        <v>749455.56209999998</v>
      </c>
      <c r="N13" s="414">
        <f t="shared" si="0"/>
        <v>604021.97004000028</v>
      </c>
      <c r="O13" s="414">
        <f t="shared" si="0"/>
        <v>0</v>
      </c>
      <c r="P13" s="414">
        <f t="shared" si="0"/>
        <v>21236</v>
      </c>
      <c r="Q13" s="414">
        <f t="shared" si="0"/>
        <v>0</v>
      </c>
      <c r="R13" s="414">
        <f t="shared" si="0"/>
        <v>42468</v>
      </c>
      <c r="S13" s="414">
        <f t="shared" si="0"/>
        <v>41072</v>
      </c>
      <c r="T13" s="414">
        <f t="shared" si="0"/>
        <v>56807</v>
      </c>
      <c r="U13" s="414">
        <f t="shared" si="0"/>
        <v>86560.451249999984</v>
      </c>
      <c r="V13" s="414">
        <f t="shared" si="0"/>
        <v>107898.60900000001</v>
      </c>
      <c r="W13" s="414">
        <f t="shared" si="0"/>
        <v>0</v>
      </c>
      <c r="X13" s="414">
        <f t="shared" si="0"/>
        <v>286248.97499999998</v>
      </c>
      <c r="Y13" s="414">
        <f t="shared" si="0"/>
        <v>7286532.7056900049</v>
      </c>
      <c r="Z13" s="414">
        <f t="shared" si="0"/>
        <v>87438392.468280002</v>
      </c>
    </row>
    <row r="14" spans="1:39" s="155" customFormat="1" ht="35.25" customHeight="1">
      <c r="A14" s="322">
        <v>1</v>
      </c>
      <c r="B14" s="331" t="s">
        <v>5</v>
      </c>
      <c r="C14" s="323" t="s">
        <v>499</v>
      </c>
      <c r="D14" s="418" t="s">
        <v>490</v>
      </c>
      <c r="E14" s="322">
        <v>1</v>
      </c>
      <c r="F14" s="319" t="s">
        <v>491</v>
      </c>
      <c r="G14" s="319">
        <v>28</v>
      </c>
      <c r="H14" s="333">
        <v>6.22</v>
      </c>
      <c r="I14" s="334">
        <v>17697</v>
      </c>
      <c r="J14" s="322">
        <v>2</v>
      </c>
      <c r="K14" s="335">
        <f>E14*H14*I14*J14</f>
        <v>220150.68</v>
      </c>
      <c r="L14" s="322"/>
      <c r="M14" s="335">
        <f>K14*25%</f>
        <v>55037.67</v>
      </c>
      <c r="N14" s="335">
        <f>(K14+M14)*10%</f>
        <v>27518.834999999999</v>
      </c>
      <c r="O14" s="322"/>
      <c r="P14" s="322"/>
      <c r="Q14" s="322"/>
      <c r="R14" s="322"/>
      <c r="S14" s="322"/>
      <c r="T14" s="322"/>
      <c r="U14" s="322"/>
      <c r="V14" s="322"/>
      <c r="W14" s="322"/>
      <c r="X14" s="335">
        <f>(K14+M14)*50%</f>
        <v>137594.17499999999</v>
      </c>
      <c r="Y14" s="335">
        <f t="shared" ref="Y14:Y55" si="1">SUM(K14:X14)</f>
        <v>440301.36</v>
      </c>
      <c r="Z14" s="335">
        <f>Y14*12</f>
        <v>5283616.32</v>
      </c>
    </row>
    <row r="15" spans="1:39" s="155" customFormat="1" ht="52.5" customHeight="1">
      <c r="A15" s="322">
        <v>2</v>
      </c>
      <c r="B15" s="331" t="s">
        <v>463</v>
      </c>
      <c r="C15" s="336" t="s">
        <v>578</v>
      </c>
      <c r="D15" s="418" t="s">
        <v>490</v>
      </c>
      <c r="E15" s="322">
        <v>1</v>
      </c>
      <c r="F15" s="319" t="s">
        <v>492</v>
      </c>
      <c r="G15" s="337">
        <v>15</v>
      </c>
      <c r="H15" s="337">
        <v>5.43</v>
      </c>
      <c r="I15" s="334">
        <v>17697</v>
      </c>
      <c r="J15" s="322">
        <v>2</v>
      </c>
      <c r="K15" s="335">
        <f t="shared" ref="K15:K55" si="2">E15*H15*I15*J15</f>
        <v>192189.41999999998</v>
      </c>
      <c r="L15" s="322"/>
      <c r="M15" s="335">
        <f t="shared" ref="M15:M32" si="3">K15*25%</f>
        <v>48047.354999999996</v>
      </c>
      <c r="N15" s="335">
        <f t="shared" ref="N15:N55" si="4">(K15+M15)*10%</f>
        <v>24023.677499999998</v>
      </c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35">
        <f t="shared" si="1"/>
        <v>264260.45249999996</v>
      </c>
      <c r="Z15" s="335">
        <f t="shared" ref="Z15:Z55" si="5">Y15*12</f>
        <v>3171125.4299999997</v>
      </c>
    </row>
    <row r="16" spans="1:39" s="155" customFormat="1" ht="54" customHeight="1">
      <c r="A16" s="322">
        <v>3</v>
      </c>
      <c r="B16" s="331" t="s">
        <v>463</v>
      </c>
      <c r="C16" s="336" t="s">
        <v>501</v>
      </c>
      <c r="D16" s="418" t="s">
        <v>490</v>
      </c>
      <c r="E16" s="322">
        <v>1</v>
      </c>
      <c r="F16" s="319" t="s">
        <v>492</v>
      </c>
      <c r="G16" s="348">
        <v>9.5</v>
      </c>
      <c r="H16" s="337">
        <v>5.29</v>
      </c>
      <c r="I16" s="334">
        <v>17697</v>
      </c>
      <c r="J16" s="322">
        <v>2</v>
      </c>
      <c r="K16" s="335">
        <f t="shared" si="2"/>
        <v>187234.26</v>
      </c>
      <c r="L16" s="322"/>
      <c r="M16" s="335">
        <f t="shared" si="3"/>
        <v>46808.565000000002</v>
      </c>
      <c r="N16" s="335">
        <f t="shared" si="4"/>
        <v>23404.282500000001</v>
      </c>
      <c r="O16" s="322"/>
      <c r="P16" s="322"/>
      <c r="Q16" s="322"/>
      <c r="R16" s="322"/>
      <c r="S16" s="322"/>
      <c r="T16" s="322"/>
      <c r="U16" s="322"/>
      <c r="V16" s="322"/>
      <c r="W16" s="322"/>
      <c r="X16" s="335">
        <f>(K16+M16)*30%</f>
        <v>70212.847500000003</v>
      </c>
      <c r="Y16" s="335">
        <f t="shared" si="1"/>
        <v>327659.95500000002</v>
      </c>
      <c r="Z16" s="335">
        <f t="shared" si="5"/>
        <v>3931919.46</v>
      </c>
    </row>
    <row r="17" spans="1:26" s="155" customFormat="1" ht="69.75" customHeight="1">
      <c r="A17" s="322">
        <v>4</v>
      </c>
      <c r="B17" s="331" t="s">
        <v>464</v>
      </c>
      <c r="C17" s="336" t="s">
        <v>580</v>
      </c>
      <c r="D17" s="418" t="s">
        <v>490</v>
      </c>
      <c r="E17" s="322">
        <v>1</v>
      </c>
      <c r="F17" s="319" t="s">
        <v>492</v>
      </c>
      <c r="G17" s="337">
        <v>26</v>
      </c>
      <c r="H17" s="337">
        <v>5.91</v>
      </c>
      <c r="I17" s="334">
        <v>17697</v>
      </c>
      <c r="J17" s="322">
        <v>2</v>
      </c>
      <c r="K17" s="335">
        <f t="shared" si="2"/>
        <v>209178.54</v>
      </c>
      <c r="L17" s="322"/>
      <c r="M17" s="335">
        <f t="shared" si="3"/>
        <v>52294.635000000002</v>
      </c>
      <c r="N17" s="335">
        <f t="shared" si="4"/>
        <v>26147.317500000005</v>
      </c>
      <c r="O17" s="322"/>
      <c r="P17" s="322"/>
      <c r="Q17" s="322"/>
      <c r="R17" s="322"/>
      <c r="S17" s="322"/>
      <c r="T17" s="322"/>
      <c r="U17" s="322"/>
      <c r="V17" s="322"/>
      <c r="W17" s="322"/>
      <c r="X17" s="335">
        <f>(K17+M17)*30%</f>
        <v>78441.952499999999</v>
      </c>
      <c r="Y17" s="335">
        <f t="shared" si="1"/>
        <v>366062.44500000007</v>
      </c>
      <c r="Z17" s="335">
        <f t="shared" si="5"/>
        <v>4392749.3400000008</v>
      </c>
    </row>
    <row r="18" spans="1:26" s="155" customFormat="1" ht="69.75" customHeight="1">
      <c r="A18" s="322">
        <v>5</v>
      </c>
      <c r="B18" s="331" t="s">
        <v>464</v>
      </c>
      <c r="C18" s="323" t="s">
        <v>579</v>
      </c>
      <c r="D18" s="418" t="s">
        <v>490</v>
      </c>
      <c r="E18" s="322">
        <v>1</v>
      </c>
      <c r="F18" s="319" t="s">
        <v>492</v>
      </c>
      <c r="G18" s="319">
        <v>8.11</v>
      </c>
      <c r="H18" s="337">
        <v>5.15</v>
      </c>
      <c r="I18" s="334">
        <v>17697</v>
      </c>
      <c r="J18" s="322">
        <v>2</v>
      </c>
      <c r="K18" s="335">
        <f t="shared" si="2"/>
        <v>182279.1</v>
      </c>
      <c r="L18" s="322"/>
      <c r="M18" s="335">
        <f t="shared" si="3"/>
        <v>45569.775000000001</v>
      </c>
      <c r="N18" s="335">
        <f t="shared" si="4"/>
        <v>22784.887500000001</v>
      </c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35">
        <f t="shared" si="1"/>
        <v>250633.76250000001</v>
      </c>
      <c r="Z18" s="335">
        <f t="shared" si="5"/>
        <v>3007605.1500000004</v>
      </c>
    </row>
    <row r="19" spans="1:26" s="155" customFormat="1" ht="66.75" customHeight="1">
      <c r="A19" s="548">
        <v>6</v>
      </c>
      <c r="B19" s="331" t="s">
        <v>465</v>
      </c>
      <c r="C19" s="610" t="s">
        <v>584</v>
      </c>
      <c r="D19" s="548" t="s">
        <v>490</v>
      </c>
      <c r="E19" s="322">
        <v>1</v>
      </c>
      <c r="F19" s="319" t="s">
        <v>493</v>
      </c>
      <c r="G19" s="319">
        <v>17.11</v>
      </c>
      <c r="H19" s="333">
        <v>5.45</v>
      </c>
      <c r="I19" s="334">
        <v>17697</v>
      </c>
      <c r="J19" s="322">
        <v>1.71</v>
      </c>
      <c r="K19" s="335">
        <f t="shared" si="2"/>
        <v>164927.19150000002</v>
      </c>
      <c r="L19" s="322"/>
      <c r="M19" s="335"/>
      <c r="N19" s="335">
        <f t="shared" si="4"/>
        <v>16492.719150000001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35">
        <f t="shared" si="1"/>
        <v>181419.91065000001</v>
      </c>
      <c r="Z19" s="335">
        <f t="shared" si="5"/>
        <v>2177038.9278000002</v>
      </c>
    </row>
    <row r="20" spans="1:26" s="155" customFormat="1" ht="27" customHeight="1">
      <c r="A20" s="549"/>
      <c r="B20" s="331" t="s">
        <v>597</v>
      </c>
      <c r="C20" s="611"/>
      <c r="D20" s="549"/>
      <c r="E20" s="322">
        <v>0.5</v>
      </c>
      <c r="F20" s="319">
        <v>3</v>
      </c>
      <c r="G20" s="319">
        <v>17.11</v>
      </c>
      <c r="H20" s="333">
        <v>2.86</v>
      </c>
      <c r="I20" s="334">
        <v>17697</v>
      </c>
      <c r="J20" s="322">
        <v>1.71</v>
      </c>
      <c r="K20" s="335">
        <f t="shared" si="2"/>
        <v>43274.474099999999</v>
      </c>
      <c r="L20" s="322"/>
      <c r="M20" s="335"/>
      <c r="N20" s="335">
        <f t="shared" si="4"/>
        <v>4327.4474099999998</v>
      </c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35">
        <f t="shared" si="1"/>
        <v>47601.92151</v>
      </c>
      <c r="Z20" s="335">
        <f t="shared" si="5"/>
        <v>571223.05811999994</v>
      </c>
    </row>
    <row r="21" spans="1:26" s="358" customFormat="1" ht="54.75" customHeight="1">
      <c r="A21" s="322">
        <v>7</v>
      </c>
      <c r="B21" s="323" t="s">
        <v>583</v>
      </c>
      <c r="C21" s="421" t="s">
        <v>628</v>
      </c>
      <c r="D21" s="418" t="s">
        <v>490</v>
      </c>
      <c r="E21" s="339">
        <v>1</v>
      </c>
      <c r="F21" s="322" t="s">
        <v>494</v>
      </c>
      <c r="G21" s="322">
        <v>13.11</v>
      </c>
      <c r="H21" s="340">
        <v>4.49</v>
      </c>
      <c r="I21" s="334">
        <v>17697</v>
      </c>
      <c r="J21" s="322">
        <v>2</v>
      </c>
      <c r="K21" s="335">
        <f t="shared" si="2"/>
        <v>158919.06</v>
      </c>
      <c r="L21" s="322"/>
      <c r="M21" s="335">
        <f t="shared" si="3"/>
        <v>39729.764999999999</v>
      </c>
      <c r="N21" s="335">
        <f t="shared" si="4"/>
        <v>19864.882500000003</v>
      </c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35">
        <f t="shared" si="1"/>
        <v>218513.70750000002</v>
      </c>
      <c r="Z21" s="335">
        <f t="shared" si="5"/>
        <v>2622164.4900000002</v>
      </c>
    </row>
    <row r="22" spans="1:26" s="155" customFormat="1" ht="50.25" customHeight="1">
      <c r="A22" s="322">
        <v>8</v>
      </c>
      <c r="B22" s="323" t="s">
        <v>466</v>
      </c>
      <c r="C22" s="336" t="s">
        <v>585</v>
      </c>
      <c r="D22" s="418" t="s">
        <v>490</v>
      </c>
      <c r="E22" s="339">
        <v>1</v>
      </c>
      <c r="F22" s="322" t="s">
        <v>494</v>
      </c>
      <c r="G22" s="337">
        <v>13.11</v>
      </c>
      <c r="H22" s="337">
        <v>4.49</v>
      </c>
      <c r="I22" s="334">
        <v>17697</v>
      </c>
      <c r="J22" s="322">
        <v>2</v>
      </c>
      <c r="K22" s="335">
        <f t="shared" si="2"/>
        <v>158919.06</v>
      </c>
      <c r="L22" s="322"/>
      <c r="M22" s="335">
        <f t="shared" si="3"/>
        <v>39729.764999999999</v>
      </c>
      <c r="N22" s="335">
        <f t="shared" si="4"/>
        <v>19864.882500000003</v>
      </c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35">
        <f t="shared" si="1"/>
        <v>218513.70750000002</v>
      </c>
      <c r="Z22" s="335">
        <f t="shared" si="5"/>
        <v>2622164.4900000002</v>
      </c>
    </row>
    <row r="23" spans="1:26" s="358" customFormat="1" ht="31.5">
      <c r="A23" s="322">
        <v>9</v>
      </c>
      <c r="B23" s="323" t="s">
        <v>466</v>
      </c>
      <c r="C23" s="336" t="s">
        <v>627</v>
      </c>
      <c r="D23" s="418" t="s">
        <v>490</v>
      </c>
      <c r="E23" s="339">
        <v>1</v>
      </c>
      <c r="F23" s="322" t="s">
        <v>494</v>
      </c>
      <c r="G23" s="346">
        <v>11.11</v>
      </c>
      <c r="H23" s="337">
        <v>4.38</v>
      </c>
      <c r="I23" s="334">
        <v>17697</v>
      </c>
      <c r="J23" s="322">
        <v>2</v>
      </c>
      <c r="K23" s="335">
        <f t="shared" si="2"/>
        <v>155025.72</v>
      </c>
      <c r="L23" s="322"/>
      <c r="M23" s="335">
        <f t="shared" si="3"/>
        <v>38756.43</v>
      </c>
      <c r="N23" s="335">
        <f t="shared" si="4"/>
        <v>19378.215</v>
      </c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35">
        <f t="shared" si="1"/>
        <v>213160.36499999999</v>
      </c>
      <c r="Z23" s="335">
        <f t="shared" si="5"/>
        <v>2557924.38</v>
      </c>
    </row>
    <row r="24" spans="1:26" s="155" customFormat="1" ht="52.5" customHeight="1">
      <c r="A24" s="322">
        <v>10</v>
      </c>
      <c r="B24" s="325" t="s">
        <v>587</v>
      </c>
      <c r="C24" s="336" t="s">
        <v>567</v>
      </c>
      <c r="D24" s="418" t="s">
        <v>490</v>
      </c>
      <c r="E24" s="339">
        <v>1</v>
      </c>
      <c r="F24" s="322" t="s">
        <v>13</v>
      </c>
      <c r="G24" s="349">
        <v>5.2</v>
      </c>
      <c r="H24" s="322">
        <v>3.78</v>
      </c>
      <c r="I24" s="334">
        <v>17697</v>
      </c>
      <c r="J24" s="322">
        <v>2</v>
      </c>
      <c r="K24" s="335">
        <f t="shared" si="2"/>
        <v>133789.32</v>
      </c>
      <c r="L24" s="322"/>
      <c r="M24" s="335">
        <f t="shared" si="3"/>
        <v>33447.33</v>
      </c>
      <c r="N24" s="335">
        <f t="shared" si="4"/>
        <v>16723.665000000005</v>
      </c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35">
        <f t="shared" si="1"/>
        <v>183960.31500000003</v>
      </c>
      <c r="Z24" s="335">
        <f t="shared" si="5"/>
        <v>2207523.7800000003</v>
      </c>
    </row>
    <row r="25" spans="1:26" s="155" customFormat="1" ht="52.5" customHeight="1">
      <c r="A25" s="322">
        <v>11</v>
      </c>
      <c r="B25" s="325" t="s">
        <v>199</v>
      </c>
      <c r="C25" s="336" t="s">
        <v>582</v>
      </c>
      <c r="D25" s="418" t="s">
        <v>490</v>
      </c>
      <c r="E25" s="338">
        <v>1</v>
      </c>
      <c r="F25" s="324" t="s">
        <v>649</v>
      </c>
      <c r="G25" s="340">
        <v>15.1</v>
      </c>
      <c r="H25" s="324">
        <v>4.28</v>
      </c>
      <c r="I25" s="334">
        <v>17697</v>
      </c>
      <c r="J25" s="322">
        <v>2</v>
      </c>
      <c r="K25" s="335">
        <f t="shared" si="2"/>
        <v>151486.32</v>
      </c>
      <c r="L25" s="322"/>
      <c r="M25" s="335">
        <f t="shared" si="3"/>
        <v>37871.58</v>
      </c>
      <c r="N25" s="335">
        <f t="shared" si="4"/>
        <v>18935.790000000005</v>
      </c>
      <c r="O25" s="322"/>
      <c r="P25" s="322"/>
      <c r="Q25" s="322"/>
      <c r="R25" s="322"/>
      <c r="S25" s="322"/>
      <c r="T25" s="322">
        <v>56807</v>
      </c>
      <c r="U25" s="322"/>
      <c r="V25" s="322"/>
      <c r="W25" s="322"/>
      <c r="X25" s="322"/>
      <c r="Y25" s="335">
        <f t="shared" si="1"/>
        <v>265100.69000000006</v>
      </c>
      <c r="Z25" s="335">
        <f t="shared" si="5"/>
        <v>3181208.2800000007</v>
      </c>
    </row>
    <row r="26" spans="1:26" s="155" customFormat="1" ht="52.5" customHeight="1">
      <c r="A26" s="322">
        <v>12</v>
      </c>
      <c r="B26" s="331" t="s">
        <v>498</v>
      </c>
      <c r="C26" s="325" t="s">
        <v>506</v>
      </c>
      <c r="D26" s="418" t="s">
        <v>490</v>
      </c>
      <c r="E26" s="338">
        <v>1</v>
      </c>
      <c r="F26" s="337" t="s">
        <v>13</v>
      </c>
      <c r="G26" s="346">
        <v>5.0999999999999996</v>
      </c>
      <c r="H26" s="324">
        <v>3.78</v>
      </c>
      <c r="I26" s="334">
        <v>17697</v>
      </c>
      <c r="J26" s="322">
        <v>2</v>
      </c>
      <c r="K26" s="335">
        <f t="shared" si="2"/>
        <v>133789.32</v>
      </c>
      <c r="L26" s="322"/>
      <c r="M26" s="335">
        <f t="shared" si="3"/>
        <v>33447.33</v>
      </c>
      <c r="N26" s="335">
        <f t="shared" si="4"/>
        <v>16723.665000000005</v>
      </c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35">
        <f t="shared" si="1"/>
        <v>183960.31500000003</v>
      </c>
      <c r="Z26" s="335">
        <f t="shared" si="5"/>
        <v>2207523.7800000003</v>
      </c>
    </row>
    <row r="27" spans="1:26" s="155" customFormat="1" ht="31.5">
      <c r="A27" s="322">
        <v>13</v>
      </c>
      <c r="B27" s="323" t="s">
        <v>616</v>
      </c>
      <c r="C27" s="336" t="s">
        <v>507</v>
      </c>
      <c r="D27" s="418" t="s">
        <v>490</v>
      </c>
      <c r="E27" s="338">
        <v>1</v>
      </c>
      <c r="F27" s="322" t="s">
        <v>13</v>
      </c>
      <c r="G27" s="322">
        <v>4.1100000000000003</v>
      </c>
      <c r="H27" s="340">
        <v>3.71</v>
      </c>
      <c r="I27" s="334">
        <v>17697</v>
      </c>
      <c r="J27" s="322">
        <v>2</v>
      </c>
      <c r="K27" s="335">
        <f t="shared" si="2"/>
        <v>131311.74</v>
      </c>
      <c r="L27" s="322"/>
      <c r="M27" s="335">
        <f t="shared" si="3"/>
        <v>32827.934999999998</v>
      </c>
      <c r="N27" s="335">
        <f t="shared" si="4"/>
        <v>16413.967499999999</v>
      </c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35">
        <f t="shared" si="1"/>
        <v>180553.64249999999</v>
      </c>
      <c r="Z27" s="335">
        <f t="shared" si="5"/>
        <v>2166643.71</v>
      </c>
    </row>
    <row r="28" spans="1:26" s="155" customFormat="1" ht="41.25" customHeight="1">
      <c r="A28" s="322">
        <v>14</v>
      </c>
      <c r="B28" s="325" t="s">
        <v>586</v>
      </c>
      <c r="C28" s="336" t="s">
        <v>624</v>
      </c>
      <c r="D28" s="418" t="s">
        <v>490</v>
      </c>
      <c r="E28" s="339">
        <v>1</v>
      </c>
      <c r="F28" s="324" t="s">
        <v>13</v>
      </c>
      <c r="G28" s="322" t="s">
        <v>625</v>
      </c>
      <c r="H28" s="324">
        <v>3.52</v>
      </c>
      <c r="I28" s="334">
        <v>17697</v>
      </c>
      <c r="J28" s="322">
        <v>2</v>
      </c>
      <c r="K28" s="335">
        <f>E28*H28*I28*J28</f>
        <v>124586.88</v>
      </c>
      <c r="L28" s="322"/>
      <c r="M28" s="335">
        <f>K28*25%</f>
        <v>31146.720000000001</v>
      </c>
      <c r="N28" s="335">
        <f>(K28+M28)*10%</f>
        <v>15573.36</v>
      </c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35">
        <f t="shared" si="1"/>
        <v>171306.96000000002</v>
      </c>
      <c r="Z28" s="335">
        <f>Y28*12</f>
        <v>2055683.5200000003</v>
      </c>
    </row>
    <row r="29" spans="1:26" s="155" customFormat="1" ht="36.75" customHeight="1">
      <c r="A29" s="322">
        <v>15</v>
      </c>
      <c r="B29" s="371" t="s">
        <v>613</v>
      </c>
      <c r="C29" s="323" t="s">
        <v>631</v>
      </c>
      <c r="D29" s="372" t="s">
        <v>490</v>
      </c>
      <c r="E29" s="418">
        <v>1</v>
      </c>
      <c r="F29" s="322" t="s">
        <v>494</v>
      </c>
      <c r="G29" s="372">
        <v>0.7</v>
      </c>
      <c r="H29" s="372">
        <v>4.0999999999999996</v>
      </c>
      <c r="I29" s="373">
        <v>17697</v>
      </c>
      <c r="J29" s="322">
        <v>2</v>
      </c>
      <c r="K29" s="374">
        <f>E29*H29*I29*J29</f>
        <v>145115.4</v>
      </c>
      <c r="L29" s="418"/>
      <c r="M29" s="335">
        <f>K29*25%</f>
        <v>36278.85</v>
      </c>
      <c r="N29" s="335">
        <f>(K29+M29)*10%</f>
        <v>18139.424999999999</v>
      </c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35">
        <f t="shared" si="1"/>
        <v>199533.67499999999</v>
      </c>
      <c r="Z29" s="335">
        <f>Y29*12</f>
        <v>2394404.0999999996</v>
      </c>
    </row>
    <row r="30" spans="1:26" s="155" customFormat="1" ht="38.25" customHeight="1">
      <c r="A30" s="322">
        <v>16</v>
      </c>
      <c r="B30" s="325" t="s">
        <v>467</v>
      </c>
      <c r="C30" s="379" t="s">
        <v>521</v>
      </c>
      <c r="D30" s="486" t="s">
        <v>490</v>
      </c>
      <c r="E30" s="339">
        <v>1</v>
      </c>
      <c r="F30" s="483" t="s">
        <v>588</v>
      </c>
      <c r="G30" s="337">
        <v>14</v>
      </c>
      <c r="H30" s="337">
        <v>4.3</v>
      </c>
      <c r="I30" s="334">
        <v>17697</v>
      </c>
      <c r="J30" s="322">
        <v>2.6</v>
      </c>
      <c r="K30" s="335">
        <f t="shared" si="2"/>
        <v>197852.46</v>
      </c>
      <c r="L30" s="322"/>
      <c r="M30" s="335">
        <f t="shared" si="3"/>
        <v>49463.114999999998</v>
      </c>
      <c r="N30" s="335">
        <f t="shared" si="4"/>
        <v>24731.557499999999</v>
      </c>
      <c r="O30" s="322"/>
      <c r="P30" s="322"/>
      <c r="Q30" s="322"/>
      <c r="R30" s="322"/>
      <c r="S30" s="322"/>
      <c r="T30" s="322"/>
      <c r="U30" s="612">
        <f>(K30+M30)*35%</f>
        <v>86560.451249999984</v>
      </c>
      <c r="V30" s="322"/>
      <c r="W30" s="322"/>
      <c r="X30" s="322"/>
      <c r="Y30" s="612">
        <f t="shared" si="1"/>
        <v>358607.58374999999</v>
      </c>
      <c r="Z30" s="612">
        <f t="shared" si="5"/>
        <v>4303291.0049999999</v>
      </c>
    </row>
    <row r="31" spans="1:26" s="155" customFormat="1" ht="31.5">
      <c r="A31" s="322">
        <v>17</v>
      </c>
      <c r="B31" s="325" t="s">
        <v>467</v>
      </c>
      <c r="C31" s="379" t="s">
        <v>534</v>
      </c>
      <c r="D31" s="486" t="s">
        <v>490</v>
      </c>
      <c r="E31" s="338">
        <v>1</v>
      </c>
      <c r="F31" s="483" t="s">
        <v>648</v>
      </c>
      <c r="G31" s="337">
        <v>22.11</v>
      </c>
      <c r="H31" s="337">
        <v>4.6900000000000004</v>
      </c>
      <c r="I31" s="334">
        <v>17697</v>
      </c>
      <c r="J31" s="322">
        <v>2.6</v>
      </c>
      <c r="K31" s="335">
        <f t="shared" si="2"/>
        <v>215797.21800000002</v>
      </c>
      <c r="L31" s="322"/>
      <c r="M31" s="335">
        <f t="shared" si="3"/>
        <v>53949.304500000006</v>
      </c>
      <c r="N31" s="335">
        <f t="shared" si="4"/>
        <v>26974.652250000003</v>
      </c>
      <c r="O31" s="322"/>
      <c r="P31" s="322"/>
      <c r="Q31" s="322"/>
      <c r="R31" s="322"/>
      <c r="S31" s="322"/>
      <c r="T31" s="322"/>
      <c r="U31" s="335"/>
      <c r="V31" s="612">
        <f>(K31+M31)*40%</f>
        <v>107898.60900000001</v>
      </c>
      <c r="W31" s="322"/>
      <c r="X31" s="322"/>
      <c r="Y31" s="612">
        <f t="shared" si="1"/>
        <v>404619.78375</v>
      </c>
      <c r="Z31" s="612">
        <f t="shared" si="5"/>
        <v>4855437.4050000003</v>
      </c>
    </row>
    <row r="32" spans="1:26" s="155" customFormat="1" ht="42.75" customHeight="1">
      <c r="A32" s="322">
        <v>18</v>
      </c>
      <c r="B32" s="336" t="s">
        <v>218</v>
      </c>
      <c r="C32" s="323" t="s">
        <v>590</v>
      </c>
      <c r="D32" s="418" t="s">
        <v>490</v>
      </c>
      <c r="E32" s="322">
        <v>1</v>
      </c>
      <c r="F32" s="322" t="s">
        <v>12</v>
      </c>
      <c r="G32" s="322">
        <v>16</v>
      </c>
      <c r="H32" s="322">
        <v>5.09</v>
      </c>
      <c r="I32" s="334">
        <v>17697</v>
      </c>
      <c r="J32" s="322">
        <v>1.71</v>
      </c>
      <c r="K32" s="335">
        <f t="shared" si="2"/>
        <v>154032.91829999999</v>
      </c>
      <c r="L32" s="322"/>
      <c r="M32" s="335">
        <f t="shared" si="3"/>
        <v>38508.229574999998</v>
      </c>
      <c r="N32" s="335">
        <f t="shared" si="4"/>
        <v>19254.114787499999</v>
      </c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35">
        <f t="shared" si="1"/>
        <v>211795.2626625</v>
      </c>
      <c r="Z32" s="335">
        <f t="shared" si="5"/>
        <v>2541543.1519499999</v>
      </c>
    </row>
    <row r="33" spans="1:30" s="155" customFormat="1" ht="31.5">
      <c r="A33" s="322">
        <v>19</v>
      </c>
      <c r="B33" s="336" t="s">
        <v>209</v>
      </c>
      <c r="C33" s="336" t="s">
        <v>591</v>
      </c>
      <c r="D33" s="418" t="s">
        <v>490</v>
      </c>
      <c r="E33" s="338">
        <v>1</v>
      </c>
      <c r="F33" s="613" t="s">
        <v>13</v>
      </c>
      <c r="G33" s="337">
        <v>16.600000000000001</v>
      </c>
      <c r="H33" s="337">
        <v>4.0599999999999996</v>
      </c>
      <c r="I33" s="334">
        <v>17697</v>
      </c>
      <c r="J33" s="322">
        <v>1.71</v>
      </c>
      <c r="K33" s="335">
        <f t="shared" si="2"/>
        <v>122863.19219999999</v>
      </c>
      <c r="L33" s="322"/>
      <c r="M33" s="335"/>
      <c r="N33" s="335">
        <f t="shared" si="4"/>
        <v>12286.319219999999</v>
      </c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614">
        <f t="shared" si="1"/>
        <v>135149.51142</v>
      </c>
      <c r="Z33" s="614">
        <f t="shared" si="5"/>
        <v>1621794.1370399999</v>
      </c>
    </row>
    <row r="34" spans="1:30" s="155" customFormat="1" ht="49.5" customHeight="1">
      <c r="A34" s="322">
        <v>20</v>
      </c>
      <c r="B34" s="336" t="s">
        <v>209</v>
      </c>
      <c r="C34" s="323" t="s">
        <v>647</v>
      </c>
      <c r="D34" s="322" t="s">
        <v>589</v>
      </c>
      <c r="E34" s="322">
        <v>1</v>
      </c>
      <c r="F34" s="613" t="s">
        <v>650</v>
      </c>
      <c r="G34" s="322">
        <v>1.8</v>
      </c>
      <c r="H34" s="341">
        <v>3.36</v>
      </c>
      <c r="I34" s="334">
        <v>17697</v>
      </c>
      <c r="J34" s="322">
        <v>1.71</v>
      </c>
      <c r="K34" s="335">
        <f t="shared" si="2"/>
        <v>101679.8832</v>
      </c>
      <c r="L34" s="322"/>
      <c r="M34" s="335"/>
      <c r="N34" s="335">
        <f t="shared" si="4"/>
        <v>10167.98832</v>
      </c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614">
        <f t="shared" si="1"/>
        <v>111847.87152</v>
      </c>
      <c r="Z34" s="614">
        <f t="shared" si="5"/>
        <v>1342174.4582400001</v>
      </c>
    </row>
    <row r="35" spans="1:30" s="155" customFormat="1" ht="36.75" customHeight="1">
      <c r="A35" s="322">
        <v>21</v>
      </c>
      <c r="B35" s="336" t="s">
        <v>194</v>
      </c>
      <c r="C35" s="323" t="s">
        <v>644</v>
      </c>
      <c r="D35" s="418" t="s">
        <v>589</v>
      </c>
      <c r="E35" s="322">
        <v>1</v>
      </c>
      <c r="F35" s="322" t="s">
        <v>322</v>
      </c>
      <c r="G35" s="340">
        <v>0.1</v>
      </c>
      <c r="H35" s="341">
        <v>3.31</v>
      </c>
      <c r="I35" s="334">
        <v>17697</v>
      </c>
      <c r="J35" s="322">
        <v>1.71</v>
      </c>
      <c r="K35" s="335">
        <f t="shared" si="2"/>
        <v>100166.78969999999</v>
      </c>
      <c r="L35" s="322"/>
      <c r="M35" s="335"/>
      <c r="N35" s="335">
        <f t="shared" si="4"/>
        <v>10016.678970000001</v>
      </c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35">
        <f t="shared" si="1"/>
        <v>110183.46867</v>
      </c>
      <c r="Z35" s="335">
        <f t="shared" si="5"/>
        <v>1322201.6240400001</v>
      </c>
    </row>
    <row r="36" spans="1:30" s="155" customFormat="1" ht="31.5">
      <c r="A36" s="322">
        <v>22</v>
      </c>
      <c r="B36" s="323" t="s">
        <v>592</v>
      </c>
      <c r="C36" s="323" t="s">
        <v>594</v>
      </c>
      <c r="D36" s="418" t="s">
        <v>589</v>
      </c>
      <c r="E36" s="322">
        <v>1</v>
      </c>
      <c r="F36" s="322" t="s">
        <v>593</v>
      </c>
      <c r="G36" s="342">
        <v>14.9</v>
      </c>
      <c r="H36" s="324">
        <v>3.19</v>
      </c>
      <c r="I36" s="334">
        <v>17697</v>
      </c>
      <c r="J36" s="322">
        <v>1.71</v>
      </c>
      <c r="K36" s="335">
        <f t="shared" si="2"/>
        <v>96535.365300000005</v>
      </c>
      <c r="L36" s="322"/>
      <c r="M36" s="335"/>
      <c r="N36" s="335">
        <f t="shared" si="4"/>
        <v>9653.5365300000012</v>
      </c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35">
        <f t="shared" si="1"/>
        <v>106188.90183</v>
      </c>
      <c r="Z36" s="335">
        <f t="shared" si="5"/>
        <v>1274266.8219600001</v>
      </c>
      <c r="AD36" s="322"/>
    </row>
    <row r="37" spans="1:30" s="155" customFormat="1" ht="38.25" customHeight="1">
      <c r="A37" s="322">
        <v>23</v>
      </c>
      <c r="B37" s="343" t="s">
        <v>645</v>
      </c>
      <c r="C37" s="323" t="s">
        <v>595</v>
      </c>
      <c r="D37" s="418" t="s">
        <v>497</v>
      </c>
      <c r="E37" s="322">
        <v>1</v>
      </c>
      <c r="F37" s="322">
        <v>1</v>
      </c>
      <c r="G37" s="322">
        <v>26.15</v>
      </c>
      <c r="H37" s="322">
        <v>2.81</v>
      </c>
      <c r="I37" s="334">
        <v>17697</v>
      </c>
      <c r="J37" s="322">
        <v>1.71</v>
      </c>
      <c r="K37" s="335">
        <f t="shared" si="2"/>
        <v>85035.854699999996</v>
      </c>
      <c r="L37" s="322"/>
      <c r="M37" s="335"/>
      <c r="N37" s="335">
        <f t="shared" si="4"/>
        <v>8503.58547</v>
      </c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35">
        <f t="shared" si="1"/>
        <v>93539.440170000002</v>
      </c>
      <c r="Z37" s="335">
        <f t="shared" si="5"/>
        <v>1122473.28204</v>
      </c>
    </row>
    <row r="38" spans="1:30" s="155" customFormat="1" ht="34.5" customHeight="1">
      <c r="A38" s="322">
        <v>24</v>
      </c>
      <c r="B38" s="343" t="s">
        <v>646</v>
      </c>
      <c r="C38" s="325" t="s">
        <v>596</v>
      </c>
      <c r="D38" s="418" t="s">
        <v>497</v>
      </c>
      <c r="E38" s="337">
        <v>1.5</v>
      </c>
      <c r="F38" s="322">
        <v>3</v>
      </c>
      <c r="G38" s="322">
        <v>12.7</v>
      </c>
      <c r="H38" s="322">
        <v>2.86</v>
      </c>
      <c r="I38" s="334">
        <v>17697</v>
      </c>
      <c r="J38" s="322">
        <v>1.71</v>
      </c>
      <c r="K38" s="335">
        <f t="shared" si="2"/>
        <v>129823.42230000001</v>
      </c>
      <c r="L38" s="322"/>
      <c r="M38" s="335"/>
      <c r="N38" s="335">
        <f t="shared" si="4"/>
        <v>12982.342230000002</v>
      </c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35">
        <f t="shared" si="1"/>
        <v>142805.76453000001</v>
      </c>
      <c r="Z38" s="335">
        <f t="shared" si="5"/>
        <v>1713669.1743600001</v>
      </c>
    </row>
    <row r="39" spans="1:30" s="155" customFormat="1" ht="31.5">
      <c r="A39" s="322">
        <v>25</v>
      </c>
      <c r="B39" s="343" t="s">
        <v>468</v>
      </c>
      <c r="C39" s="344" t="s">
        <v>598</v>
      </c>
      <c r="D39" s="418" t="s">
        <v>497</v>
      </c>
      <c r="E39" s="337">
        <v>1</v>
      </c>
      <c r="F39" s="322">
        <v>1</v>
      </c>
      <c r="G39" s="322">
        <v>5</v>
      </c>
      <c r="H39" s="322">
        <v>2.81</v>
      </c>
      <c r="I39" s="334">
        <v>17697</v>
      </c>
      <c r="J39" s="322">
        <v>1.71</v>
      </c>
      <c r="K39" s="335">
        <f t="shared" si="2"/>
        <v>85035.854699999996</v>
      </c>
      <c r="L39" s="322"/>
      <c r="M39" s="335"/>
      <c r="N39" s="335">
        <f t="shared" si="4"/>
        <v>8503.58547</v>
      </c>
      <c r="O39" s="322"/>
      <c r="P39" s="322"/>
      <c r="Q39" s="322"/>
      <c r="R39" s="322">
        <v>3539</v>
      </c>
      <c r="S39" s="375"/>
      <c r="T39" s="322"/>
      <c r="U39" s="322"/>
      <c r="V39" s="322"/>
      <c r="W39" s="322"/>
      <c r="X39" s="322"/>
      <c r="Y39" s="335">
        <f t="shared" si="1"/>
        <v>97078.440170000002</v>
      </c>
      <c r="Z39" s="335">
        <f t="shared" si="5"/>
        <v>1164941.28204</v>
      </c>
    </row>
    <row r="40" spans="1:30" s="155" customFormat="1" ht="31.5">
      <c r="A40" s="322">
        <v>26</v>
      </c>
      <c r="B40" s="343" t="s">
        <v>468</v>
      </c>
      <c r="C40" s="325" t="s">
        <v>599</v>
      </c>
      <c r="D40" s="418" t="s">
        <v>497</v>
      </c>
      <c r="E40" s="337">
        <v>1</v>
      </c>
      <c r="F40" s="322">
        <v>1</v>
      </c>
      <c r="G40" s="322">
        <v>3.11</v>
      </c>
      <c r="H40" s="322">
        <v>2.81</v>
      </c>
      <c r="I40" s="334">
        <v>17697</v>
      </c>
      <c r="J40" s="322">
        <v>1.71</v>
      </c>
      <c r="K40" s="335">
        <f t="shared" si="2"/>
        <v>85035.854699999996</v>
      </c>
      <c r="L40" s="322"/>
      <c r="M40" s="335"/>
      <c r="N40" s="335">
        <f t="shared" si="4"/>
        <v>8503.58547</v>
      </c>
      <c r="O40" s="322"/>
      <c r="P40" s="322"/>
      <c r="Q40" s="322"/>
      <c r="R40" s="322">
        <v>3539</v>
      </c>
      <c r="S40" s="375"/>
      <c r="T40" s="322"/>
      <c r="U40" s="322"/>
      <c r="V40" s="322"/>
      <c r="W40" s="322"/>
      <c r="X40" s="322"/>
      <c r="Y40" s="335">
        <f t="shared" si="1"/>
        <v>97078.440170000002</v>
      </c>
      <c r="Z40" s="335">
        <f t="shared" si="5"/>
        <v>1164941.28204</v>
      </c>
    </row>
    <row r="41" spans="1:30" s="155" customFormat="1" ht="38.25" customHeight="1">
      <c r="A41" s="322">
        <v>27</v>
      </c>
      <c r="B41" s="343" t="s">
        <v>468</v>
      </c>
      <c r="C41" s="345" t="s">
        <v>600</v>
      </c>
      <c r="D41" s="418" t="s">
        <v>497</v>
      </c>
      <c r="E41" s="337">
        <v>1</v>
      </c>
      <c r="F41" s="322">
        <v>1</v>
      </c>
      <c r="G41" s="322">
        <v>6.4</v>
      </c>
      <c r="H41" s="322">
        <v>2.81</v>
      </c>
      <c r="I41" s="334">
        <v>17697</v>
      </c>
      <c r="J41" s="322">
        <v>1.71</v>
      </c>
      <c r="K41" s="335">
        <f t="shared" si="2"/>
        <v>85035.854699999996</v>
      </c>
      <c r="L41" s="322"/>
      <c r="M41" s="335"/>
      <c r="N41" s="335">
        <f t="shared" si="4"/>
        <v>8503.58547</v>
      </c>
      <c r="O41" s="322"/>
      <c r="P41" s="322"/>
      <c r="Q41" s="322"/>
      <c r="R41" s="322">
        <v>3539</v>
      </c>
      <c r="S41" s="375"/>
      <c r="T41" s="322"/>
      <c r="U41" s="322"/>
      <c r="V41" s="322"/>
      <c r="W41" s="322"/>
      <c r="X41" s="322"/>
      <c r="Y41" s="335">
        <f t="shared" si="1"/>
        <v>97078.440170000002</v>
      </c>
      <c r="Z41" s="335">
        <f t="shared" si="5"/>
        <v>1164941.28204</v>
      </c>
    </row>
    <row r="42" spans="1:30" s="155" customFormat="1" ht="31.5">
      <c r="A42" s="322">
        <v>28</v>
      </c>
      <c r="B42" s="343" t="s">
        <v>468</v>
      </c>
      <c r="C42" s="325" t="s">
        <v>601</v>
      </c>
      <c r="D42" s="418" t="s">
        <v>497</v>
      </c>
      <c r="E42" s="337">
        <v>1</v>
      </c>
      <c r="F42" s="322">
        <v>1</v>
      </c>
      <c r="G42" s="322">
        <v>3.11</v>
      </c>
      <c r="H42" s="322">
        <v>2.81</v>
      </c>
      <c r="I42" s="334">
        <v>17697</v>
      </c>
      <c r="J42" s="322">
        <v>1.71</v>
      </c>
      <c r="K42" s="335">
        <f t="shared" si="2"/>
        <v>85035.854699999996</v>
      </c>
      <c r="L42" s="322"/>
      <c r="M42" s="335"/>
      <c r="N42" s="335">
        <f t="shared" si="4"/>
        <v>8503.58547</v>
      </c>
      <c r="O42" s="322"/>
      <c r="P42" s="322"/>
      <c r="Q42" s="322"/>
      <c r="R42" s="322">
        <v>3539</v>
      </c>
      <c r="S42" s="375"/>
      <c r="T42" s="322"/>
      <c r="U42" s="322"/>
      <c r="V42" s="322"/>
      <c r="W42" s="322"/>
      <c r="X42" s="322"/>
      <c r="Y42" s="335">
        <f t="shared" si="1"/>
        <v>97078.440170000002</v>
      </c>
      <c r="Z42" s="335">
        <f t="shared" si="5"/>
        <v>1164941.28204</v>
      </c>
    </row>
    <row r="43" spans="1:30" s="155" customFormat="1" ht="31.5">
      <c r="A43" s="322">
        <v>29</v>
      </c>
      <c r="B43" s="343" t="s">
        <v>468</v>
      </c>
      <c r="C43" s="325" t="s">
        <v>602</v>
      </c>
      <c r="D43" s="418" t="s">
        <v>497</v>
      </c>
      <c r="E43" s="337">
        <v>1</v>
      </c>
      <c r="F43" s="322">
        <v>1</v>
      </c>
      <c r="G43" s="322">
        <v>4</v>
      </c>
      <c r="H43" s="322">
        <v>2.81</v>
      </c>
      <c r="I43" s="334">
        <v>17697</v>
      </c>
      <c r="J43" s="322">
        <v>1.71</v>
      </c>
      <c r="K43" s="335">
        <f t="shared" si="2"/>
        <v>85035.854699999996</v>
      </c>
      <c r="L43" s="322"/>
      <c r="M43" s="335"/>
      <c r="N43" s="335">
        <f t="shared" si="4"/>
        <v>8503.58547</v>
      </c>
      <c r="O43" s="322"/>
      <c r="P43" s="322"/>
      <c r="Q43" s="322"/>
      <c r="R43" s="322">
        <v>3539</v>
      </c>
      <c r="S43" s="375"/>
      <c r="T43" s="322"/>
      <c r="U43" s="322"/>
      <c r="V43" s="322"/>
      <c r="W43" s="322"/>
      <c r="X43" s="322"/>
      <c r="Y43" s="335">
        <f t="shared" si="1"/>
        <v>97078.440170000002</v>
      </c>
      <c r="Z43" s="335">
        <f t="shared" si="5"/>
        <v>1164941.28204</v>
      </c>
    </row>
    <row r="44" spans="1:30" s="155" customFormat="1" ht="31.5">
      <c r="A44" s="322">
        <v>30</v>
      </c>
      <c r="B44" s="343" t="s">
        <v>468</v>
      </c>
      <c r="C44" s="325" t="s">
        <v>603</v>
      </c>
      <c r="D44" s="418" t="s">
        <v>497</v>
      </c>
      <c r="E44" s="337">
        <v>1</v>
      </c>
      <c r="F44" s="322">
        <v>1</v>
      </c>
      <c r="G44" s="322">
        <v>3.11</v>
      </c>
      <c r="H44" s="322">
        <v>2.81</v>
      </c>
      <c r="I44" s="334">
        <v>17697</v>
      </c>
      <c r="J44" s="322">
        <v>1.71</v>
      </c>
      <c r="K44" s="335">
        <f t="shared" si="2"/>
        <v>85035.854699999996</v>
      </c>
      <c r="L44" s="322"/>
      <c r="M44" s="335"/>
      <c r="N44" s="335">
        <f t="shared" si="4"/>
        <v>8503.58547</v>
      </c>
      <c r="O44" s="322"/>
      <c r="P44" s="322">
        <v>5309</v>
      </c>
      <c r="Q44" s="322"/>
      <c r="R44" s="322">
        <v>3539</v>
      </c>
      <c r="S44" s="375"/>
      <c r="T44" s="322"/>
      <c r="U44" s="322"/>
      <c r="V44" s="322"/>
      <c r="W44" s="322"/>
      <c r="X44" s="322"/>
      <c r="Y44" s="335">
        <f t="shared" si="1"/>
        <v>102387.44017</v>
      </c>
      <c r="Z44" s="335">
        <f t="shared" si="5"/>
        <v>1228649.28204</v>
      </c>
    </row>
    <row r="45" spans="1:30" s="155" customFormat="1" ht="31.5">
      <c r="A45" s="322">
        <v>31</v>
      </c>
      <c r="B45" s="343" t="s">
        <v>468</v>
      </c>
      <c r="C45" s="325" t="s">
        <v>604</v>
      </c>
      <c r="D45" s="418" t="s">
        <v>497</v>
      </c>
      <c r="E45" s="337">
        <v>1</v>
      </c>
      <c r="F45" s="322">
        <v>1</v>
      </c>
      <c r="G45" s="322">
        <v>3.11</v>
      </c>
      <c r="H45" s="322">
        <v>2.81</v>
      </c>
      <c r="I45" s="334">
        <v>17697</v>
      </c>
      <c r="J45" s="322">
        <v>1.71</v>
      </c>
      <c r="K45" s="335">
        <f t="shared" si="2"/>
        <v>85035.854699999996</v>
      </c>
      <c r="L45" s="322"/>
      <c r="M45" s="335"/>
      <c r="N45" s="335">
        <f t="shared" si="4"/>
        <v>8503.58547</v>
      </c>
      <c r="O45" s="322"/>
      <c r="P45" s="322"/>
      <c r="Q45" s="322"/>
      <c r="R45" s="322">
        <v>3539</v>
      </c>
      <c r="S45" s="375"/>
      <c r="T45" s="322"/>
      <c r="U45" s="322"/>
      <c r="V45" s="322"/>
      <c r="W45" s="322"/>
      <c r="X45" s="322"/>
      <c r="Y45" s="335">
        <f t="shared" si="1"/>
        <v>97078.440170000002</v>
      </c>
      <c r="Z45" s="335">
        <f t="shared" si="5"/>
        <v>1164941.28204</v>
      </c>
    </row>
    <row r="46" spans="1:30" s="155" customFormat="1" ht="35.25" customHeight="1">
      <c r="A46" s="322">
        <v>32</v>
      </c>
      <c r="B46" s="343" t="s">
        <v>468</v>
      </c>
      <c r="C46" s="323" t="s">
        <v>605</v>
      </c>
      <c r="D46" s="418" t="s">
        <v>497</v>
      </c>
      <c r="E46" s="337">
        <v>1</v>
      </c>
      <c r="F46" s="322">
        <v>1</v>
      </c>
      <c r="G46" s="322">
        <v>14.9</v>
      </c>
      <c r="H46" s="322">
        <v>2.81</v>
      </c>
      <c r="I46" s="334">
        <v>17697</v>
      </c>
      <c r="J46" s="322">
        <v>1.71</v>
      </c>
      <c r="K46" s="335">
        <f t="shared" si="2"/>
        <v>85035.854699999996</v>
      </c>
      <c r="L46" s="322"/>
      <c r="M46" s="335"/>
      <c r="N46" s="335">
        <f t="shared" si="4"/>
        <v>8503.58547</v>
      </c>
      <c r="O46" s="322"/>
      <c r="P46" s="322">
        <v>5309</v>
      </c>
      <c r="Q46" s="322"/>
      <c r="R46" s="322">
        <v>3539</v>
      </c>
      <c r="S46" s="375"/>
      <c r="T46" s="322"/>
      <c r="U46" s="322"/>
      <c r="V46" s="322"/>
      <c r="W46" s="322"/>
      <c r="X46" s="322"/>
      <c r="Y46" s="335">
        <f t="shared" si="1"/>
        <v>102387.44017</v>
      </c>
      <c r="Z46" s="335">
        <f t="shared" si="5"/>
        <v>1228649.28204</v>
      </c>
    </row>
    <row r="47" spans="1:30" s="155" customFormat="1" ht="52.5" customHeight="1">
      <c r="A47" s="322">
        <v>33</v>
      </c>
      <c r="B47" s="343" t="s">
        <v>468</v>
      </c>
      <c r="C47" s="325" t="s">
        <v>606</v>
      </c>
      <c r="D47" s="418" t="s">
        <v>497</v>
      </c>
      <c r="E47" s="337">
        <v>1</v>
      </c>
      <c r="F47" s="322">
        <v>1</v>
      </c>
      <c r="G47" s="322">
        <v>8.8000000000000007</v>
      </c>
      <c r="H47" s="322">
        <v>2.81</v>
      </c>
      <c r="I47" s="334">
        <v>17697</v>
      </c>
      <c r="J47" s="322">
        <v>1.71</v>
      </c>
      <c r="K47" s="335">
        <f t="shared" si="2"/>
        <v>85035.854699999996</v>
      </c>
      <c r="L47" s="322"/>
      <c r="M47" s="335"/>
      <c r="N47" s="335">
        <f t="shared" si="4"/>
        <v>8503.58547</v>
      </c>
      <c r="O47" s="322"/>
      <c r="P47" s="322">
        <v>5309</v>
      </c>
      <c r="Q47" s="322"/>
      <c r="R47" s="322">
        <v>3539</v>
      </c>
      <c r="S47" s="375"/>
      <c r="T47" s="322"/>
      <c r="U47" s="322"/>
      <c r="V47" s="322"/>
      <c r="W47" s="322"/>
      <c r="X47" s="322"/>
      <c r="Y47" s="335">
        <f t="shared" si="1"/>
        <v>102387.44017</v>
      </c>
      <c r="Z47" s="335">
        <f t="shared" si="5"/>
        <v>1228649.28204</v>
      </c>
    </row>
    <row r="48" spans="1:30" s="155" customFormat="1" ht="31.5">
      <c r="A48" s="322">
        <v>34</v>
      </c>
      <c r="B48" s="343" t="s">
        <v>468</v>
      </c>
      <c r="C48" s="345" t="s">
        <v>607</v>
      </c>
      <c r="D48" s="418" t="s">
        <v>497</v>
      </c>
      <c r="E48" s="337">
        <v>1</v>
      </c>
      <c r="F48" s="322">
        <v>1</v>
      </c>
      <c r="G48" s="322">
        <v>1.1100000000000001</v>
      </c>
      <c r="H48" s="322">
        <v>2.81</v>
      </c>
      <c r="I48" s="334">
        <v>17697</v>
      </c>
      <c r="J48" s="322">
        <v>1.71</v>
      </c>
      <c r="K48" s="335">
        <f t="shared" si="2"/>
        <v>85035.854699999996</v>
      </c>
      <c r="L48" s="322"/>
      <c r="M48" s="335"/>
      <c r="N48" s="335">
        <f t="shared" si="4"/>
        <v>8503.58547</v>
      </c>
      <c r="O48" s="322"/>
      <c r="P48" s="322"/>
      <c r="Q48" s="322"/>
      <c r="R48" s="322">
        <v>3539</v>
      </c>
      <c r="S48" s="375"/>
      <c r="T48" s="322"/>
      <c r="U48" s="322"/>
      <c r="V48" s="322"/>
      <c r="W48" s="322"/>
      <c r="X48" s="322"/>
      <c r="Y48" s="335">
        <f t="shared" si="1"/>
        <v>97078.440170000002</v>
      </c>
      <c r="Z48" s="335">
        <f t="shared" si="5"/>
        <v>1164941.28204</v>
      </c>
    </row>
    <row r="49" spans="1:39" s="155" customFormat="1" ht="31.5">
      <c r="A49" s="322">
        <v>35</v>
      </c>
      <c r="B49" s="343" t="s">
        <v>468</v>
      </c>
      <c r="C49" s="325" t="s">
        <v>608</v>
      </c>
      <c r="D49" s="418" t="s">
        <v>497</v>
      </c>
      <c r="E49" s="337">
        <v>1</v>
      </c>
      <c r="F49" s="322">
        <v>1</v>
      </c>
      <c r="G49" s="322">
        <v>6.7</v>
      </c>
      <c r="H49" s="322">
        <v>2.81</v>
      </c>
      <c r="I49" s="334">
        <v>17697</v>
      </c>
      <c r="J49" s="322">
        <v>1.71</v>
      </c>
      <c r="K49" s="335">
        <f t="shared" si="2"/>
        <v>85035.854699999996</v>
      </c>
      <c r="L49" s="322"/>
      <c r="M49" s="335"/>
      <c r="N49" s="335">
        <f t="shared" si="4"/>
        <v>8503.58547</v>
      </c>
      <c r="O49" s="322"/>
      <c r="P49" s="322"/>
      <c r="Q49" s="322"/>
      <c r="R49" s="322">
        <v>3539</v>
      </c>
      <c r="S49" s="375"/>
      <c r="T49" s="322"/>
      <c r="U49" s="322"/>
      <c r="V49" s="322"/>
      <c r="W49" s="322"/>
      <c r="X49" s="322"/>
      <c r="Y49" s="335">
        <f t="shared" si="1"/>
        <v>97078.440170000002</v>
      </c>
      <c r="Z49" s="335">
        <f t="shared" si="5"/>
        <v>1164941.28204</v>
      </c>
    </row>
    <row r="50" spans="1:39" s="155" customFormat="1" ht="33.75" customHeight="1">
      <c r="A50" s="322">
        <v>36</v>
      </c>
      <c r="B50" s="343" t="s">
        <v>468</v>
      </c>
      <c r="C50" s="323" t="s">
        <v>609</v>
      </c>
      <c r="D50" s="418" t="s">
        <v>497</v>
      </c>
      <c r="E50" s="337">
        <v>1</v>
      </c>
      <c r="F50" s="322">
        <v>1</v>
      </c>
      <c r="G50" s="322">
        <v>1.5</v>
      </c>
      <c r="H50" s="322">
        <v>2.81</v>
      </c>
      <c r="I50" s="334">
        <v>17697</v>
      </c>
      <c r="J50" s="322">
        <v>1.71</v>
      </c>
      <c r="K50" s="335">
        <f t="shared" si="2"/>
        <v>85035.854699999996</v>
      </c>
      <c r="L50" s="322"/>
      <c r="M50" s="335"/>
      <c r="N50" s="335">
        <f t="shared" si="4"/>
        <v>8503.58547</v>
      </c>
      <c r="O50" s="322"/>
      <c r="P50" s="322"/>
      <c r="Q50" s="322"/>
      <c r="R50" s="322">
        <v>3539</v>
      </c>
      <c r="S50" s="375"/>
      <c r="T50" s="322"/>
      <c r="U50" s="322"/>
      <c r="V50" s="322"/>
      <c r="W50" s="322"/>
      <c r="X50" s="322"/>
      <c r="Y50" s="335">
        <f t="shared" si="1"/>
        <v>97078.440170000002</v>
      </c>
      <c r="Z50" s="335">
        <f t="shared" si="5"/>
        <v>1164941.28204</v>
      </c>
    </row>
    <row r="51" spans="1:39" s="155" customFormat="1" ht="34.5" customHeight="1">
      <c r="A51" s="322">
        <v>37</v>
      </c>
      <c r="B51" s="323" t="s">
        <v>301</v>
      </c>
      <c r="C51" s="325" t="s">
        <v>610</v>
      </c>
      <c r="D51" s="418" t="s">
        <v>497</v>
      </c>
      <c r="E51" s="337">
        <v>1</v>
      </c>
      <c r="F51" s="322">
        <v>1</v>
      </c>
      <c r="G51" s="322">
        <v>6.9</v>
      </c>
      <c r="H51" s="322">
        <v>2.81</v>
      </c>
      <c r="I51" s="334">
        <v>17697</v>
      </c>
      <c r="J51" s="322">
        <v>1.71</v>
      </c>
      <c r="K51" s="335">
        <f t="shared" si="2"/>
        <v>85035.854699999996</v>
      </c>
      <c r="L51" s="322"/>
      <c r="M51" s="335"/>
      <c r="N51" s="335">
        <f t="shared" si="4"/>
        <v>8503.58547</v>
      </c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35">
        <f t="shared" si="1"/>
        <v>93539.440170000002</v>
      </c>
      <c r="Z51" s="335">
        <f t="shared" si="5"/>
        <v>1122473.28204</v>
      </c>
    </row>
    <row r="52" spans="1:39" s="155" customFormat="1" ht="31.5">
      <c r="A52" s="322">
        <v>38</v>
      </c>
      <c r="B52" s="325" t="s">
        <v>496</v>
      </c>
      <c r="C52" s="325" t="s">
        <v>611</v>
      </c>
      <c r="D52" s="418" t="s">
        <v>497</v>
      </c>
      <c r="E52" s="322">
        <v>1</v>
      </c>
      <c r="F52" s="322">
        <v>1</v>
      </c>
      <c r="G52" s="322">
        <v>24.6</v>
      </c>
      <c r="H52" s="322">
        <v>2.81</v>
      </c>
      <c r="I52" s="334">
        <v>17697</v>
      </c>
      <c r="J52" s="322">
        <v>1.71</v>
      </c>
      <c r="K52" s="335">
        <f t="shared" si="2"/>
        <v>85035.854699999996</v>
      </c>
      <c r="L52" s="322"/>
      <c r="M52" s="335"/>
      <c r="N52" s="335">
        <f t="shared" si="4"/>
        <v>8503.58547</v>
      </c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35">
        <f t="shared" si="1"/>
        <v>93539.440170000002</v>
      </c>
      <c r="Z52" s="335">
        <f t="shared" si="5"/>
        <v>1122473.28204</v>
      </c>
    </row>
    <row r="53" spans="1:39" s="155" customFormat="1" ht="47.25">
      <c r="A53" s="322">
        <v>39</v>
      </c>
      <c r="B53" s="325" t="s">
        <v>496</v>
      </c>
      <c r="C53" s="325" t="s">
        <v>612</v>
      </c>
      <c r="D53" s="418" t="s">
        <v>497</v>
      </c>
      <c r="E53" s="322">
        <v>1</v>
      </c>
      <c r="F53" s="322">
        <v>1</v>
      </c>
      <c r="G53" s="322">
        <v>9.6999999999999993</v>
      </c>
      <c r="H53" s="322">
        <v>2.81</v>
      </c>
      <c r="I53" s="334">
        <v>17697</v>
      </c>
      <c r="J53" s="322">
        <v>1.71</v>
      </c>
      <c r="K53" s="335">
        <f t="shared" si="2"/>
        <v>85035.854699999996</v>
      </c>
      <c r="L53" s="322"/>
      <c r="M53" s="335"/>
      <c r="N53" s="335">
        <f t="shared" si="4"/>
        <v>8503.58547</v>
      </c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35">
        <f t="shared" si="1"/>
        <v>93539.440170000002</v>
      </c>
      <c r="Z53" s="335">
        <f t="shared" si="5"/>
        <v>1122473.28204</v>
      </c>
    </row>
    <row r="54" spans="1:39" s="155" customFormat="1" ht="25.5" customHeight="1">
      <c r="A54" s="322">
        <v>40</v>
      </c>
      <c r="B54" s="376" t="s">
        <v>220</v>
      </c>
      <c r="C54" s="345" t="s">
        <v>495</v>
      </c>
      <c r="D54" s="418" t="s">
        <v>490</v>
      </c>
      <c r="E54" s="418">
        <v>1</v>
      </c>
      <c r="F54" s="418" t="s">
        <v>11</v>
      </c>
      <c r="G54" s="418">
        <v>25</v>
      </c>
      <c r="H54" s="377">
        <v>4.83</v>
      </c>
      <c r="I54" s="373">
        <v>17697</v>
      </c>
      <c r="J54" s="322">
        <v>1.71</v>
      </c>
      <c r="K54" s="374">
        <f t="shared" si="2"/>
        <v>146164.8321</v>
      </c>
      <c r="L54" s="418"/>
      <c r="M54" s="335">
        <f>K54*25%</f>
        <v>36541.208025</v>
      </c>
      <c r="N54" s="335">
        <f t="shared" si="4"/>
        <v>18270.6040125</v>
      </c>
      <c r="O54" s="418"/>
      <c r="P54" s="418">
        <v>5309</v>
      </c>
      <c r="Q54" s="418"/>
      <c r="R54" s="418"/>
      <c r="S54" s="418"/>
      <c r="T54" s="418"/>
      <c r="U54" s="418"/>
      <c r="V54" s="418"/>
      <c r="W54" s="418"/>
      <c r="X54" s="418"/>
      <c r="Y54" s="335">
        <f t="shared" si="1"/>
        <v>206285.6441375</v>
      </c>
      <c r="Z54" s="335">
        <f t="shared" si="5"/>
        <v>2475427.7296500001</v>
      </c>
    </row>
    <row r="55" spans="1:39" s="108" customFormat="1" ht="36.75" customHeight="1">
      <c r="A55" s="322">
        <v>41</v>
      </c>
      <c r="B55" s="343" t="s">
        <v>615</v>
      </c>
      <c r="C55" s="343" t="s">
        <v>671</v>
      </c>
      <c r="D55" s="322" t="s">
        <v>497</v>
      </c>
      <c r="E55" s="322">
        <v>0.5</v>
      </c>
      <c r="F55" s="322">
        <v>3</v>
      </c>
      <c r="G55" s="322">
        <v>10</v>
      </c>
      <c r="H55" s="322">
        <v>2.86</v>
      </c>
      <c r="I55" s="334">
        <v>17697</v>
      </c>
      <c r="J55" s="322">
        <v>1.71</v>
      </c>
      <c r="K55" s="335">
        <f t="shared" si="2"/>
        <v>43274.474099999999</v>
      </c>
      <c r="L55" s="322"/>
      <c r="M55" s="335"/>
      <c r="N55" s="335">
        <f t="shared" si="4"/>
        <v>4327.4474099999998</v>
      </c>
      <c r="O55" s="322"/>
      <c r="P55" s="322"/>
      <c r="Q55" s="322"/>
      <c r="R55" s="322"/>
      <c r="S55" s="322">
        <v>10268</v>
      </c>
      <c r="T55" s="322"/>
      <c r="U55" s="322"/>
      <c r="V55" s="322"/>
      <c r="W55" s="322"/>
      <c r="X55" s="322"/>
      <c r="Y55" s="335">
        <f t="shared" si="1"/>
        <v>57869.92151</v>
      </c>
      <c r="Z55" s="335">
        <f t="shared" si="5"/>
        <v>694439.05811999994</v>
      </c>
    </row>
    <row r="56" spans="1:39" s="108" customFormat="1" ht="36.75" customHeight="1">
      <c r="A56" s="322">
        <v>42</v>
      </c>
      <c r="B56" s="343" t="s">
        <v>615</v>
      </c>
      <c r="C56" s="343" t="s">
        <v>672</v>
      </c>
      <c r="D56" s="322" t="s">
        <v>497</v>
      </c>
      <c r="E56" s="322">
        <v>0.5</v>
      </c>
      <c r="F56" s="322">
        <v>3</v>
      </c>
      <c r="G56" s="322">
        <v>10</v>
      </c>
      <c r="H56" s="322">
        <v>2.86</v>
      </c>
      <c r="I56" s="334">
        <v>17697</v>
      </c>
      <c r="J56" s="322">
        <v>1.71</v>
      </c>
      <c r="K56" s="335">
        <f t="shared" ref="K56:K58" si="6">E56*H56*I56*J56</f>
        <v>43274.474099999999</v>
      </c>
      <c r="L56" s="322"/>
      <c r="M56" s="335"/>
      <c r="N56" s="335">
        <f t="shared" ref="N56:N58" si="7">(K56+M56)*10%</f>
        <v>4327.4474099999998</v>
      </c>
      <c r="O56" s="322"/>
      <c r="P56" s="322"/>
      <c r="Q56" s="322"/>
      <c r="R56" s="322"/>
      <c r="S56" s="322">
        <v>10268</v>
      </c>
      <c r="T56" s="322"/>
      <c r="U56" s="322"/>
      <c r="V56" s="322"/>
      <c r="W56" s="322"/>
      <c r="X56" s="322"/>
      <c r="Y56" s="335">
        <f t="shared" ref="Y56:Y58" si="8">SUM(K56:X56)</f>
        <v>57869.92151</v>
      </c>
      <c r="Z56" s="335">
        <f t="shared" ref="Z56:Z58" si="9">Y56*12</f>
        <v>694439.05811999994</v>
      </c>
    </row>
    <row r="57" spans="1:39" s="108" customFormat="1" ht="36.75" customHeight="1">
      <c r="A57" s="322">
        <v>43</v>
      </c>
      <c r="B57" s="343" t="s">
        <v>615</v>
      </c>
      <c r="C57" s="343" t="s">
        <v>673</v>
      </c>
      <c r="D57" s="322" t="s">
        <v>497</v>
      </c>
      <c r="E57" s="322">
        <v>0.5</v>
      </c>
      <c r="F57" s="322">
        <v>3</v>
      </c>
      <c r="G57" s="322">
        <v>10</v>
      </c>
      <c r="H57" s="322">
        <v>2.86</v>
      </c>
      <c r="I57" s="334">
        <v>17697</v>
      </c>
      <c r="J57" s="322">
        <v>1.71</v>
      </c>
      <c r="K57" s="335">
        <f t="shared" si="6"/>
        <v>43274.474099999999</v>
      </c>
      <c r="L57" s="322"/>
      <c r="M57" s="335"/>
      <c r="N57" s="335">
        <f t="shared" si="7"/>
        <v>4327.4474099999998</v>
      </c>
      <c r="O57" s="322"/>
      <c r="P57" s="322"/>
      <c r="Q57" s="322"/>
      <c r="R57" s="322"/>
      <c r="S57" s="322">
        <v>10268</v>
      </c>
      <c r="T57" s="322"/>
      <c r="U57" s="322"/>
      <c r="V57" s="322"/>
      <c r="W57" s="322"/>
      <c r="X57" s="322"/>
      <c r="Y57" s="335">
        <f t="shared" si="8"/>
        <v>57869.92151</v>
      </c>
      <c r="Z57" s="335">
        <f t="shared" si="9"/>
        <v>694439.05811999994</v>
      </c>
    </row>
    <row r="58" spans="1:39" s="108" customFormat="1" ht="50.25" customHeight="1">
      <c r="A58" s="322">
        <v>44</v>
      </c>
      <c r="B58" s="343" t="s">
        <v>615</v>
      </c>
      <c r="C58" s="343" t="s">
        <v>674</v>
      </c>
      <c r="D58" s="322" t="s">
        <v>497</v>
      </c>
      <c r="E58" s="322">
        <v>0.5</v>
      </c>
      <c r="F58" s="322">
        <v>3</v>
      </c>
      <c r="G58" s="322">
        <v>10</v>
      </c>
      <c r="H58" s="322">
        <v>2.86</v>
      </c>
      <c r="I58" s="334">
        <v>17697</v>
      </c>
      <c r="J58" s="322">
        <v>1.71</v>
      </c>
      <c r="K58" s="335">
        <f t="shared" si="6"/>
        <v>43274.474099999999</v>
      </c>
      <c r="L58" s="322"/>
      <c r="M58" s="335"/>
      <c r="N58" s="335">
        <f t="shared" si="7"/>
        <v>4327.4474099999998</v>
      </c>
      <c r="O58" s="322"/>
      <c r="P58" s="322"/>
      <c r="Q58" s="322"/>
      <c r="R58" s="322"/>
      <c r="S58" s="322">
        <v>10268</v>
      </c>
      <c r="T58" s="322"/>
      <c r="U58" s="322"/>
      <c r="V58" s="322"/>
      <c r="W58" s="322"/>
      <c r="X58" s="322"/>
      <c r="Y58" s="335">
        <f t="shared" si="8"/>
        <v>57869.92151</v>
      </c>
      <c r="Z58" s="335">
        <f t="shared" si="9"/>
        <v>694439.05811999994</v>
      </c>
    </row>
    <row r="59" spans="1:39" ht="16.5" customHeight="1">
      <c r="A59" s="347"/>
      <c r="B59" s="410"/>
      <c r="C59" s="411"/>
      <c r="D59" s="347"/>
      <c r="E59" s="347"/>
      <c r="F59" s="347"/>
      <c r="G59" s="412"/>
      <c r="H59" s="347"/>
      <c r="I59" s="408"/>
      <c r="J59" s="347"/>
      <c r="K59" s="409"/>
      <c r="L59" s="413"/>
      <c r="M59" s="413"/>
      <c r="N59" s="409"/>
      <c r="O59" s="413"/>
      <c r="P59" s="413"/>
      <c r="Q59" s="413"/>
      <c r="R59" s="413"/>
      <c r="S59" s="347"/>
      <c r="T59" s="413"/>
      <c r="U59" s="413"/>
      <c r="V59" s="413"/>
      <c r="W59" s="413"/>
      <c r="X59" s="413"/>
      <c r="Y59" s="409"/>
      <c r="Z59" s="409"/>
    </row>
    <row r="60" spans="1:39" ht="21" customHeight="1">
      <c r="B60" s="352" t="s">
        <v>622</v>
      </c>
      <c r="C60" s="243"/>
      <c r="D60" s="243"/>
      <c r="E60" s="182"/>
      <c r="F60" s="190"/>
      <c r="G60" s="275"/>
      <c r="H60" s="275"/>
      <c r="I60" s="278"/>
      <c r="J60" s="278"/>
    </row>
    <row r="61" spans="1:39" s="306" customFormat="1" ht="2.25" customHeight="1">
      <c r="A61" s="303"/>
      <c r="B61" s="274"/>
      <c r="C61" s="243"/>
      <c r="D61" s="355"/>
      <c r="E61" s="182"/>
      <c r="F61" s="190"/>
      <c r="G61" s="275"/>
      <c r="H61" s="275"/>
      <c r="I61" s="278"/>
      <c r="J61" s="278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</row>
    <row r="62" spans="1:39" s="306" customFormat="1" ht="21.75" customHeight="1">
      <c r="A62" s="303"/>
      <c r="B62" s="352" t="s">
        <v>670</v>
      </c>
      <c r="C62" s="243"/>
      <c r="D62" s="243"/>
      <c r="E62" s="182"/>
      <c r="F62" s="190"/>
      <c r="G62" s="275"/>
      <c r="H62" s="275"/>
      <c r="I62" s="278"/>
      <c r="J62" s="278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</row>
    <row r="63" spans="1:39" s="306" customFormat="1" ht="3.75" customHeight="1">
      <c r="A63" s="303"/>
      <c r="B63" s="273"/>
      <c r="C63" s="243"/>
      <c r="D63" s="243"/>
      <c r="E63" s="20"/>
      <c r="F63" s="42"/>
      <c r="G63" s="246"/>
      <c r="H63" s="246"/>
      <c r="I63" s="278"/>
      <c r="J63" s="278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</row>
    <row r="64" spans="1:39" s="306" customFormat="1" ht="20.25">
      <c r="A64" s="303"/>
      <c r="B64" s="352" t="s">
        <v>669</v>
      </c>
      <c r="C64" s="243"/>
      <c r="D64" s="243"/>
      <c r="E64" s="20"/>
      <c r="F64" s="42"/>
      <c r="G64" s="246"/>
      <c r="H64" s="246"/>
      <c r="I64" s="245"/>
      <c r="J64" s="245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</row>
    <row r="65" spans="2:10" ht="5.25" customHeight="1">
      <c r="B65" s="245"/>
      <c r="C65" s="243"/>
      <c r="D65" s="243"/>
      <c r="E65" s="20"/>
      <c r="F65" s="42"/>
      <c r="G65" s="246"/>
      <c r="H65" s="246"/>
      <c r="I65" s="245"/>
      <c r="J65" s="245"/>
    </row>
    <row r="66" spans="2:10" ht="20.25">
      <c r="B66" s="352" t="s">
        <v>640</v>
      </c>
      <c r="C66" s="244"/>
      <c r="D66" s="2"/>
      <c r="E66" s="48"/>
      <c r="F66" s="41"/>
      <c r="G66" s="244"/>
      <c r="H66" s="244"/>
      <c r="I66" s="245"/>
      <c r="J66" s="245"/>
    </row>
  </sheetData>
  <mergeCells count="21">
    <mergeCell ref="A19:A20"/>
    <mergeCell ref="C19:C20"/>
    <mergeCell ref="D19:D20"/>
    <mergeCell ref="J11:J12"/>
    <mergeCell ref="K11:K12"/>
    <mergeCell ref="A9:Z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Y11:Y12"/>
    <mergeCell ref="Z11:Z12"/>
    <mergeCell ref="L11:L12"/>
    <mergeCell ref="M11:M12"/>
    <mergeCell ref="N11:S11"/>
    <mergeCell ref="T11:X11"/>
  </mergeCells>
  <printOptions horizontalCentered="1"/>
  <pageMargins left="0" right="0" top="0.31496062992125984" bottom="0.27559055118110237" header="0" footer="0"/>
  <pageSetup paperSize="9" scale="40" orientation="landscape" r:id="rId1"/>
  <rowBreaks count="1" manualBreakCount="1">
    <brk id="34" max="25" man="1"/>
  </rowBreaks>
  <colBreaks count="1" manualBreakCount="1">
    <brk id="2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M66"/>
  <sheetViews>
    <sheetView tabSelected="1" view="pageBreakPreview" topLeftCell="A27" zoomScale="55" zoomScaleNormal="55" zoomScaleSheetLayoutView="55" workbookViewId="0">
      <selection activeCell="K31" sqref="K31"/>
    </sheetView>
  </sheetViews>
  <sheetFormatPr defaultColWidth="6.140625" defaultRowHeight="12.75"/>
  <cols>
    <col min="1" max="1" width="6.140625" style="303" customWidth="1"/>
    <col min="2" max="2" width="20.85546875" style="304" customWidth="1"/>
    <col min="3" max="3" width="21.5703125" style="308" customWidth="1"/>
    <col min="4" max="4" width="12.5703125" style="305" customWidth="1"/>
    <col min="5" max="5" width="9.28515625" style="303" customWidth="1"/>
    <col min="6" max="6" width="9.5703125" style="303" customWidth="1"/>
    <col min="7" max="7" width="8.85546875" style="303" customWidth="1"/>
    <col min="8" max="8" width="7" style="307" customWidth="1"/>
    <col min="9" max="9" width="10.7109375" style="306" customWidth="1"/>
    <col min="10" max="10" width="8.42578125" style="303" customWidth="1"/>
    <col min="11" max="11" width="11.42578125" style="306" customWidth="1"/>
    <col min="12" max="12" width="8.85546875" style="306" hidden="1" customWidth="1"/>
    <col min="13" max="13" width="10.5703125" style="306" customWidth="1"/>
    <col min="14" max="14" width="10.28515625" style="306" customWidth="1"/>
    <col min="15" max="15" width="6.140625" style="306" hidden="1" customWidth="1"/>
    <col min="16" max="16" width="10.5703125" style="306" customWidth="1"/>
    <col min="17" max="17" width="9.5703125" style="306" customWidth="1"/>
    <col min="18" max="18" width="9.7109375" style="306" customWidth="1"/>
    <col min="19" max="19" width="10.28515625" style="306" customWidth="1"/>
    <col min="20" max="20" width="9.140625" style="306" customWidth="1"/>
    <col min="21" max="21" width="11.28515625" style="306" customWidth="1"/>
    <col min="22" max="22" width="10.140625" style="306" customWidth="1"/>
    <col min="23" max="23" width="11.7109375" style="306" customWidth="1"/>
    <col min="24" max="24" width="12.42578125" style="306" customWidth="1"/>
    <col min="25" max="25" width="12.140625" style="306" customWidth="1"/>
    <col min="26" max="26" width="13" style="306" customWidth="1"/>
    <col min="27" max="27" width="6.140625" style="303" customWidth="1"/>
    <col min="28" max="28" width="7.28515625" style="303" bestFit="1" customWidth="1"/>
    <col min="29" max="16384" width="6.140625" style="303"/>
  </cols>
  <sheetData>
    <row r="1" spans="1:39" ht="24.75" customHeight="1">
      <c r="A1" s="241" t="s">
        <v>617</v>
      </c>
      <c r="B1" s="245"/>
      <c r="C1" s="240"/>
      <c r="D1" s="240"/>
      <c r="E1" s="254"/>
      <c r="F1" s="254"/>
      <c r="G1" s="237"/>
      <c r="H1" s="281"/>
      <c r="I1" s="237"/>
      <c r="J1" s="237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41" t="s">
        <v>571</v>
      </c>
      <c r="V1" s="237"/>
      <c r="W1" s="237"/>
      <c r="X1" s="240"/>
      <c r="Y1" s="254"/>
      <c r="Z1" s="254"/>
    </row>
    <row r="2" spans="1:39" ht="21" customHeight="1">
      <c r="A2" s="236" t="s">
        <v>572</v>
      </c>
      <c r="B2" s="245"/>
      <c r="C2" s="240"/>
      <c r="D2" s="240"/>
      <c r="E2" s="254"/>
      <c r="F2" s="254"/>
      <c r="G2" s="237"/>
      <c r="H2" s="281"/>
      <c r="I2" s="237"/>
      <c r="J2" s="237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36" t="s">
        <v>572</v>
      </c>
      <c r="V2" s="237"/>
      <c r="W2" s="237"/>
      <c r="X2" s="240"/>
      <c r="Y2" s="254"/>
      <c r="Z2" s="254"/>
    </row>
    <row r="3" spans="1:39" ht="18" customHeight="1">
      <c r="A3" s="241" t="s">
        <v>656</v>
      </c>
      <c r="B3" s="245"/>
      <c r="C3" s="237"/>
      <c r="D3" s="237"/>
      <c r="E3" s="254"/>
      <c r="F3" s="254"/>
      <c r="G3" s="237"/>
      <c r="H3" s="281"/>
      <c r="I3" s="237"/>
      <c r="J3" s="237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41" t="s">
        <v>632</v>
      </c>
      <c r="V3" s="237"/>
      <c r="W3" s="237"/>
      <c r="X3" s="237"/>
      <c r="Y3" s="254"/>
      <c r="Z3" s="254"/>
    </row>
    <row r="4" spans="1:39" ht="18" customHeight="1">
      <c r="A4" s="241" t="s">
        <v>633</v>
      </c>
      <c r="B4" s="245"/>
      <c r="C4" s="237"/>
      <c r="D4" s="237"/>
      <c r="E4" s="254"/>
      <c r="F4" s="254"/>
      <c r="G4" s="237"/>
      <c r="H4" s="281"/>
      <c r="I4" s="237"/>
      <c r="J4" s="237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41" t="s">
        <v>635</v>
      </c>
      <c r="V4" s="237"/>
      <c r="W4" s="237"/>
      <c r="X4" s="237"/>
      <c r="Y4" s="254"/>
      <c r="Z4" s="254"/>
    </row>
    <row r="5" spans="1:39" ht="35.25" customHeight="1">
      <c r="A5" s="241"/>
      <c r="B5" s="237"/>
      <c r="C5" s="237"/>
      <c r="D5" s="237"/>
      <c r="E5" s="254"/>
      <c r="F5" s="254"/>
      <c r="G5" s="237"/>
      <c r="H5" s="281"/>
      <c r="I5" s="237"/>
      <c r="J5" s="237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41" t="s">
        <v>675</v>
      </c>
      <c r="V5" s="237"/>
      <c r="W5" s="237"/>
      <c r="X5" s="237"/>
      <c r="Y5" s="254"/>
      <c r="Z5" s="254"/>
    </row>
    <row r="6" spans="1:39" ht="5.25" customHeight="1">
      <c r="A6" s="237"/>
      <c r="B6" s="156"/>
      <c r="C6" s="279"/>
      <c r="D6" s="320"/>
      <c r="E6" s="321"/>
      <c r="F6" s="254"/>
      <c r="G6" s="237"/>
      <c r="H6" s="281"/>
      <c r="I6" s="237"/>
      <c r="J6" s="237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41"/>
      <c r="V6" s="237"/>
      <c r="W6" s="237"/>
      <c r="X6" s="237"/>
      <c r="Y6" s="254"/>
      <c r="Z6" s="254"/>
    </row>
    <row r="7" spans="1:39" ht="14.25" hidden="1" customHeight="1">
      <c r="A7" s="237"/>
      <c r="B7" s="156"/>
      <c r="C7" s="279"/>
      <c r="D7" s="320"/>
      <c r="E7" s="321"/>
      <c r="F7" s="254"/>
      <c r="G7" s="237"/>
      <c r="H7" s="281"/>
      <c r="I7" s="237"/>
      <c r="J7" s="237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88"/>
      <c r="V7" s="254"/>
      <c r="W7" s="254"/>
      <c r="X7" s="254"/>
      <c r="Y7" s="254"/>
      <c r="Z7" s="254"/>
    </row>
    <row r="8" spans="1:39" ht="13.5" hidden="1" customHeight="1">
      <c r="A8" s="237"/>
      <c r="B8" s="156"/>
      <c r="C8" s="279"/>
      <c r="D8" s="320"/>
      <c r="E8" s="321"/>
      <c r="F8" s="254"/>
      <c r="G8" s="237"/>
      <c r="H8" s="281"/>
      <c r="I8" s="237"/>
      <c r="J8" s="237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88"/>
      <c r="V8" s="254"/>
      <c r="W8" s="254"/>
      <c r="X8" s="254"/>
      <c r="Y8" s="254"/>
      <c r="Z8" s="254"/>
    </row>
    <row r="9" spans="1:39" ht="39.6" customHeight="1">
      <c r="A9" s="550" t="s">
        <v>662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</row>
    <row r="10" spans="1:39" ht="12" customHeight="1">
      <c r="A10" s="237"/>
      <c r="B10" s="279"/>
      <c r="C10" s="156"/>
      <c r="D10" s="320"/>
      <c r="E10" s="237"/>
      <c r="F10" s="237"/>
      <c r="G10" s="237"/>
      <c r="H10" s="281"/>
      <c r="I10" s="254"/>
      <c r="J10" s="237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39" s="161" customFormat="1" ht="28.5" customHeight="1">
      <c r="A11" s="551" t="s">
        <v>22</v>
      </c>
      <c r="B11" s="551" t="s">
        <v>0</v>
      </c>
      <c r="C11" s="551" t="s">
        <v>1</v>
      </c>
      <c r="D11" s="551" t="s">
        <v>59</v>
      </c>
      <c r="E11" s="551" t="s">
        <v>2</v>
      </c>
      <c r="F11" s="551" t="s">
        <v>35</v>
      </c>
      <c r="G11" s="551" t="s">
        <v>36</v>
      </c>
      <c r="H11" s="553" t="s">
        <v>3</v>
      </c>
      <c r="I11" s="544" t="s">
        <v>53</v>
      </c>
      <c r="J11" s="551" t="s">
        <v>51</v>
      </c>
      <c r="K11" s="544" t="s">
        <v>4</v>
      </c>
      <c r="L11" s="544" t="s">
        <v>52</v>
      </c>
      <c r="M11" s="544" t="s">
        <v>42</v>
      </c>
      <c r="N11" s="546" t="s">
        <v>44</v>
      </c>
      <c r="O11" s="547"/>
      <c r="P11" s="547"/>
      <c r="Q11" s="547"/>
      <c r="R11" s="547"/>
      <c r="S11" s="547"/>
      <c r="T11" s="555" t="s">
        <v>44</v>
      </c>
      <c r="U11" s="555"/>
      <c r="V11" s="555"/>
      <c r="W11" s="555"/>
      <c r="X11" s="555"/>
      <c r="Y11" s="544" t="s">
        <v>66</v>
      </c>
      <c r="Z11" s="544" t="s">
        <v>67</v>
      </c>
    </row>
    <row r="12" spans="1:39" s="161" customFormat="1" ht="156" customHeight="1">
      <c r="A12" s="552"/>
      <c r="B12" s="552"/>
      <c r="C12" s="552"/>
      <c r="D12" s="552"/>
      <c r="E12" s="552"/>
      <c r="F12" s="552"/>
      <c r="G12" s="552"/>
      <c r="H12" s="554"/>
      <c r="I12" s="545"/>
      <c r="J12" s="552"/>
      <c r="K12" s="545"/>
      <c r="L12" s="545"/>
      <c r="M12" s="545"/>
      <c r="N12" s="489">
        <v>0.1</v>
      </c>
      <c r="O12" s="489" t="s">
        <v>73</v>
      </c>
      <c r="P12" s="488" t="s">
        <v>48</v>
      </c>
      <c r="Q12" s="488" t="s">
        <v>581</v>
      </c>
      <c r="R12" s="488" t="s">
        <v>667</v>
      </c>
      <c r="S12" s="484" t="s">
        <v>668</v>
      </c>
      <c r="T12" s="485" t="s">
        <v>45</v>
      </c>
      <c r="U12" s="485" t="s">
        <v>46</v>
      </c>
      <c r="V12" s="485" t="s">
        <v>49</v>
      </c>
      <c r="W12" s="485" t="s">
        <v>47</v>
      </c>
      <c r="X12" s="485" t="s">
        <v>614</v>
      </c>
      <c r="Y12" s="545"/>
      <c r="Z12" s="545"/>
    </row>
    <row r="13" spans="1:39" s="160" customFormat="1" ht="29.25" customHeight="1">
      <c r="A13" s="490"/>
      <c r="B13" s="490"/>
      <c r="C13" s="490"/>
      <c r="D13" s="487"/>
      <c r="E13" s="424">
        <f>E14+E15+E16+E17+E18+E19+E20+E21+E22+E23+E24+E25+E26+E27+E28+E29+E30+E31+E32+E33+E34+E35+E36+E37+E38+E39+E40+E41+E42+E43+E44+E45+E46+E47+E48+E49+E50+E51+E52+E53+E54+E55+E56+E57+E58</f>
        <v>43</v>
      </c>
      <c r="F13" s="490"/>
      <c r="G13" s="490"/>
      <c r="H13" s="490"/>
      <c r="I13" s="490"/>
      <c r="J13" s="490"/>
      <c r="K13" s="414">
        <f>SUM(K14:K58)</f>
        <v>5290981.8114000009</v>
      </c>
      <c r="L13" s="414">
        <f t="shared" ref="L13:Z13" si="0">SUM(L14:L58)</f>
        <v>0</v>
      </c>
      <c r="M13" s="414">
        <f t="shared" si="0"/>
        <v>739447.90859999997</v>
      </c>
      <c r="N13" s="414">
        <f t="shared" si="0"/>
        <v>603042.97200000042</v>
      </c>
      <c r="O13" s="414">
        <f t="shared" si="0"/>
        <v>0</v>
      </c>
      <c r="P13" s="414">
        <f t="shared" si="0"/>
        <v>21236</v>
      </c>
      <c r="Q13" s="414">
        <f t="shared" si="0"/>
        <v>0</v>
      </c>
      <c r="R13" s="414">
        <f t="shared" si="0"/>
        <v>42468</v>
      </c>
      <c r="S13" s="414">
        <f t="shared" si="0"/>
        <v>41072</v>
      </c>
      <c r="T13" s="414">
        <f t="shared" si="0"/>
        <v>56807</v>
      </c>
      <c r="U13" s="414">
        <f t="shared" si="0"/>
        <v>0</v>
      </c>
      <c r="V13" s="414">
        <f t="shared" si="0"/>
        <v>0</v>
      </c>
      <c r="W13" s="414">
        <f t="shared" si="0"/>
        <v>0</v>
      </c>
      <c r="X13" s="414">
        <f t="shared" si="0"/>
        <v>286248.97499999998</v>
      </c>
      <c r="Y13" s="414">
        <f t="shared" si="0"/>
        <v>7081304.6670000041</v>
      </c>
      <c r="Z13" s="414">
        <f t="shared" si="0"/>
        <v>84975656.004000008</v>
      </c>
    </row>
    <row r="14" spans="1:39" s="155" customFormat="1" ht="35.25" customHeight="1">
      <c r="A14" s="322">
        <v>1</v>
      </c>
      <c r="B14" s="331" t="s">
        <v>5</v>
      </c>
      <c r="C14" s="323" t="s">
        <v>499</v>
      </c>
      <c r="D14" s="486" t="s">
        <v>490</v>
      </c>
      <c r="E14" s="322">
        <v>1</v>
      </c>
      <c r="F14" s="319" t="s">
        <v>491</v>
      </c>
      <c r="G14" s="319">
        <v>28</v>
      </c>
      <c r="H14" s="333">
        <v>6.22</v>
      </c>
      <c r="I14" s="334">
        <v>17697</v>
      </c>
      <c r="J14" s="322">
        <v>2</v>
      </c>
      <c r="K14" s="335">
        <f>E14*H14*I14*J14</f>
        <v>220150.68</v>
      </c>
      <c r="L14" s="322"/>
      <c r="M14" s="335">
        <f>K14*25%</f>
        <v>55037.67</v>
      </c>
      <c r="N14" s="335">
        <f>(K14+M14)*10%</f>
        <v>27518.834999999999</v>
      </c>
      <c r="O14" s="322"/>
      <c r="P14" s="322"/>
      <c r="Q14" s="322"/>
      <c r="R14" s="322"/>
      <c r="S14" s="322"/>
      <c r="T14" s="322"/>
      <c r="U14" s="322"/>
      <c r="V14" s="322"/>
      <c r="W14" s="322"/>
      <c r="X14" s="335">
        <f>(K14+M14)*50%</f>
        <v>137594.17499999999</v>
      </c>
      <c r="Y14" s="335">
        <f t="shared" ref="Y14:Y55" si="1">SUM(K14:X14)</f>
        <v>440301.36</v>
      </c>
      <c r="Z14" s="335">
        <f>Y14*12</f>
        <v>5283616.32</v>
      </c>
    </row>
    <row r="15" spans="1:39" s="155" customFormat="1" ht="52.5" customHeight="1">
      <c r="A15" s="322">
        <v>2</v>
      </c>
      <c r="B15" s="331" t="s">
        <v>463</v>
      </c>
      <c r="C15" s="336" t="s">
        <v>578</v>
      </c>
      <c r="D15" s="486" t="s">
        <v>490</v>
      </c>
      <c r="E15" s="322">
        <v>1</v>
      </c>
      <c r="F15" s="319" t="s">
        <v>492</v>
      </c>
      <c r="G15" s="337">
        <v>15</v>
      </c>
      <c r="H15" s="337">
        <v>5.43</v>
      </c>
      <c r="I15" s="334">
        <v>17697</v>
      </c>
      <c r="J15" s="322">
        <v>2</v>
      </c>
      <c r="K15" s="335">
        <f t="shared" ref="K15:K58" si="2">E15*H15*I15*J15</f>
        <v>192189.41999999998</v>
      </c>
      <c r="L15" s="322"/>
      <c r="M15" s="335">
        <f t="shared" ref="M15:M32" si="3">K15*25%</f>
        <v>48047.354999999996</v>
      </c>
      <c r="N15" s="335">
        <f t="shared" ref="N15:N58" si="4">(K15+M15)*10%</f>
        <v>24023.677499999998</v>
      </c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35">
        <f t="shared" si="1"/>
        <v>264260.45249999996</v>
      </c>
      <c r="Z15" s="335">
        <f t="shared" ref="Z15:Z58" si="5">Y15*12</f>
        <v>3171125.4299999997</v>
      </c>
    </row>
    <row r="16" spans="1:39" s="155" customFormat="1" ht="54" customHeight="1">
      <c r="A16" s="322">
        <v>3</v>
      </c>
      <c r="B16" s="331" t="s">
        <v>463</v>
      </c>
      <c r="C16" s="336" t="s">
        <v>501</v>
      </c>
      <c r="D16" s="486" t="s">
        <v>490</v>
      </c>
      <c r="E16" s="322">
        <v>1</v>
      </c>
      <c r="F16" s="319" t="s">
        <v>492</v>
      </c>
      <c r="G16" s="348">
        <v>9.5</v>
      </c>
      <c r="H16" s="337">
        <v>5.29</v>
      </c>
      <c r="I16" s="334">
        <v>17697</v>
      </c>
      <c r="J16" s="322">
        <v>2</v>
      </c>
      <c r="K16" s="335">
        <f t="shared" si="2"/>
        <v>187234.26</v>
      </c>
      <c r="L16" s="322"/>
      <c r="M16" s="335">
        <f t="shared" si="3"/>
        <v>46808.565000000002</v>
      </c>
      <c r="N16" s="335">
        <f t="shared" si="4"/>
        <v>23404.282500000001</v>
      </c>
      <c r="O16" s="322"/>
      <c r="P16" s="322"/>
      <c r="Q16" s="322"/>
      <c r="R16" s="322"/>
      <c r="S16" s="322"/>
      <c r="T16" s="322"/>
      <c r="U16" s="322"/>
      <c r="V16" s="322"/>
      <c r="W16" s="322"/>
      <c r="X16" s="335">
        <f>(K16+M16)*30%</f>
        <v>70212.847500000003</v>
      </c>
      <c r="Y16" s="335">
        <f t="shared" si="1"/>
        <v>327659.95500000002</v>
      </c>
      <c r="Z16" s="335">
        <f t="shared" si="5"/>
        <v>3931919.46</v>
      </c>
    </row>
    <row r="17" spans="1:26" s="155" customFormat="1" ht="69.75" customHeight="1">
      <c r="A17" s="322">
        <v>4</v>
      </c>
      <c r="B17" s="331" t="s">
        <v>464</v>
      </c>
      <c r="C17" s="336" t="s">
        <v>580</v>
      </c>
      <c r="D17" s="486" t="s">
        <v>490</v>
      </c>
      <c r="E17" s="322">
        <v>1</v>
      </c>
      <c r="F17" s="319" t="s">
        <v>492</v>
      </c>
      <c r="G17" s="337">
        <v>26</v>
      </c>
      <c r="H17" s="337">
        <v>5.91</v>
      </c>
      <c r="I17" s="334">
        <v>17697</v>
      </c>
      <c r="J17" s="322">
        <v>2</v>
      </c>
      <c r="K17" s="335">
        <f t="shared" si="2"/>
        <v>209178.54</v>
      </c>
      <c r="L17" s="322"/>
      <c r="M17" s="335">
        <f t="shared" si="3"/>
        <v>52294.635000000002</v>
      </c>
      <c r="N17" s="335">
        <f t="shared" si="4"/>
        <v>26147.317500000005</v>
      </c>
      <c r="O17" s="322"/>
      <c r="P17" s="322"/>
      <c r="Q17" s="322"/>
      <c r="R17" s="322"/>
      <c r="S17" s="322"/>
      <c r="T17" s="322"/>
      <c r="U17" s="322"/>
      <c r="V17" s="322"/>
      <c r="W17" s="322"/>
      <c r="X17" s="335">
        <f>(K17+M17)*30%</f>
        <v>78441.952499999999</v>
      </c>
      <c r="Y17" s="335">
        <f t="shared" si="1"/>
        <v>366062.44500000007</v>
      </c>
      <c r="Z17" s="335">
        <f t="shared" si="5"/>
        <v>4392749.3400000008</v>
      </c>
    </row>
    <row r="18" spans="1:26" s="155" customFormat="1" ht="69.75" customHeight="1">
      <c r="A18" s="322">
        <v>5</v>
      </c>
      <c r="B18" s="331" t="s">
        <v>464</v>
      </c>
      <c r="C18" s="323" t="s">
        <v>579</v>
      </c>
      <c r="D18" s="486" t="s">
        <v>490</v>
      </c>
      <c r="E18" s="322">
        <v>1</v>
      </c>
      <c r="F18" s="319" t="s">
        <v>492</v>
      </c>
      <c r="G18" s="319">
        <v>8.11</v>
      </c>
      <c r="H18" s="337">
        <v>5.15</v>
      </c>
      <c r="I18" s="334">
        <v>17697</v>
      </c>
      <c r="J18" s="322">
        <v>2</v>
      </c>
      <c r="K18" s="335">
        <f t="shared" si="2"/>
        <v>182279.1</v>
      </c>
      <c r="L18" s="322"/>
      <c r="M18" s="335">
        <f t="shared" si="3"/>
        <v>45569.775000000001</v>
      </c>
      <c r="N18" s="335">
        <f t="shared" si="4"/>
        <v>22784.887500000001</v>
      </c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35">
        <f t="shared" si="1"/>
        <v>250633.76250000001</v>
      </c>
      <c r="Z18" s="335">
        <f t="shared" si="5"/>
        <v>3007605.1500000004</v>
      </c>
    </row>
    <row r="19" spans="1:26" s="155" customFormat="1" ht="66.75" customHeight="1">
      <c r="A19" s="548">
        <v>6</v>
      </c>
      <c r="B19" s="331" t="s">
        <v>465</v>
      </c>
      <c r="C19" s="610" t="s">
        <v>584</v>
      </c>
      <c r="D19" s="548" t="s">
        <v>490</v>
      </c>
      <c r="E19" s="322">
        <v>1</v>
      </c>
      <c r="F19" s="319" t="s">
        <v>493</v>
      </c>
      <c r="G19" s="319">
        <v>17.11</v>
      </c>
      <c r="H19" s="333">
        <v>5.45</v>
      </c>
      <c r="I19" s="334">
        <v>17697</v>
      </c>
      <c r="J19" s="322">
        <v>1.71</v>
      </c>
      <c r="K19" s="335">
        <f t="shared" si="2"/>
        <v>164927.19150000002</v>
      </c>
      <c r="L19" s="322"/>
      <c r="M19" s="335"/>
      <c r="N19" s="335">
        <f t="shared" si="4"/>
        <v>16492.719150000001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35">
        <f t="shared" si="1"/>
        <v>181419.91065000001</v>
      </c>
      <c r="Z19" s="335">
        <f t="shared" si="5"/>
        <v>2177038.9278000002</v>
      </c>
    </row>
    <row r="20" spans="1:26" s="155" customFormat="1" ht="27" customHeight="1">
      <c r="A20" s="549"/>
      <c r="B20" s="331" t="s">
        <v>597</v>
      </c>
      <c r="C20" s="611"/>
      <c r="D20" s="549"/>
      <c r="E20" s="322">
        <v>0.5</v>
      </c>
      <c r="F20" s="319">
        <v>3</v>
      </c>
      <c r="G20" s="319">
        <v>17.11</v>
      </c>
      <c r="H20" s="333">
        <v>2.86</v>
      </c>
      <c r="I20" s="334">
        <v>17697</v>
      </c>
      <c r="J20" s="322">
        <v>1.71</v>
      </c>
      <c r="K20" s="335">
        <f t="shared" si="2"/>
        <v>43274.474099999999</v>
      </c>
      <c r="L20" s="322"/>
      <c r="M20" s="335"/>
      <c r="N20" s="335">
        <f t="shared" si="4"/>
        <v>4327.4474099999998</v>
      </c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35">
        <f t="shared" si="1"/>
        <v>47601.92151</v>
      </c>
      <c r="Z20" s="335">
        <f t="shared" si="5"/>
        <v>571223.05811999994</v>
      </c>
    </row>
    <row r="21" spans="1:26" s="358" customFormat="1" ht="54.75" customHeight="1">
      <c r="A21" s="322">
        <v>7</v>
      </c>
      <c r="B21" s="323" t="s">
        <v>583</v>
      </c>
      <c r="C21" s="450" t="s">
        <v>628</v>
      </c>
      <c r="D21" s="486" t="s">
        <v>490</v>
      </c>
      <c r="E21" s="339">
        <v>1</v>
      </c>
      <c r="F21" s="322" t="s">
        <v>494</v>
      </c>
      <c r="G21" s="322">
        <v>13.11</v>
      </c>
      <c r="H21" s="340">
        <v>4.49</v>
      </c>
      <c r="I21" s="334">
        <v>17697</v>
      </c>
      <c r="J21" s="322">
        <v>2</v>
      </c>
      <c r="K21" s="335">
        <f t="shared" si="2"/>
        <v>158919.06</v>
      </c>
      <c r="L21" s="322"/>
      <c r="M21" s="335">
        <f t="shared" si="3"/>
        <v>39729.764999999999</v>
      </c>
      <c r="N21" s="335">
        <f t="shared" si="4"/>
        <v>19864.882500000003</v>
      </c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35">
        <f t="shared" si="1"/>
        <v>218513.70750000002</v>
      </c>
      <c r="Z21" s="335">
        <f t="shared" si="5"/>
        <v>2622164.4900000002</v>
      </c>
    </row>
    <row r="22" spans="1:26" s="155" customFormat="1" ht="50.25" customHeight="1">
      <c r="A22" s="322">
        <v>8</v>
      </c>
      <c r="B22" s="323" t="s">
        <v>466</v>
      </c>
      <c r="C22" s="336" t="s">
        <v>585</v>
      </c>
      <c r="D22" s="486" t="s">
        <v>490</v>
      </c>
      <c r="E22" s="339">
        <v>1</v>
      </c>
      <c r="F22" s="322" t="s">
        <v>494</v>
      </c>
      <c r="G22" s="337">
        <v>13.11</v>
      </c>
      <c r="H22" s="337">
        <v>4.49</v>
      </c>
      <c r="I22" s="334">
        <v>17697</v>
      </c>
      <c r="J22" s="322">
        <v>2</v>
      </c>
      <c r="K22" s="335">
        <f t="shared" si="2"/>
        <v>158919.06</v>
      </c>
      <c r="L22" s="322"/>
      <c r="M22" s="335">
        <f t="shared" si="3"/>
        <v>39729.764999999999</v>
      </c>
      <c r="N22" s="335">
        <f t="shared" si="4"/>
        <v>19864.882500000003</v>
      </c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35">
        <f t="shared" si="1"/>
        <v>218513.70750000002</v>
      </c>
      <c r="Z22" s="335">
        <f t="shared" si="5"/>
        <v>2622164.4900000002</v>
      </c>
    </row>
    <row r="23" spans="1:26" s="358" customFormat="1" ht="31.5">
      <c r="A23" s="322">
        <v>9</v>
      </c>
      <c r="B23" s="323" t="s">
        <v>466</v>
      </c>
      <c r="C23" s="336" t="s">
        <v>627</v>
      </c>
      <c r="D23" s="486" t="s">
        <v>490</v>
      </c>
      <c r="E23" s="339">
        <v>1</v>
      </c>
      <c r="F23" s="322" t="s">
        <v>494</v>
      </c>
      <c r="G23" s="346">
        <v>11.11</v>
      </c>
      <c r="H23" s="337">
        <v>4.38</v>
      </c>
      <c r="I23" s="334">
        <v>17697</v>
      </c>
      <c r="J23" s="322">
        <v>2</v>
      </c>
      <c r="K23" s="335">
        <f t="shared" si="2"/>
        <v>155025.72</v>
      </c>
      <c r="L23" s="322"/>
      <c r="M23" s="335">
        <f t="shared" si="3"/>
        <v>38756.43</v>
      </c>
      <c r="N23" s="335">
        <f t="shared" si="4"/>
        <v>19378.215</v>
      </c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35">
        <f t="shared" si="1"/>
        <v>213160.36499999999</v>
      </c>
      <c r="Z23" s="335">
        <f t="shared" si="5"/>
        <v>2557924.38</v>
      </c>
    </row>
    <row r="24" spans="1:26" s="155" customFormat="1" ht="52.5" customHeight="1">
      <c r="A24" s="322">
        <v>10</v>
      </c>
      <c r="B24" s="325" t="s">
        <v>587</v>
      </c>
      <c r="C24" s="336" t="s">
        <v>567</v>
      </c>
      <c r="D24" s="486" t="s">
        <v>490</v>
      </c>
      <c r="E24" s="339">
        <v>1</v>
      </c>
      <c r="F24" s="322" t="s">
        <v>13</v>
      </c>
      <c r="G24" s="349">
        <v>5.2</v>
      </c>
      <c r="H24" s="322">
        <v>3.78</v>
      </c>
      <c r="I24" s="334">
        <v>17697</v>
      </c>
      <c r="J24" s="322">
        <v>2</v>
      </c>
      <c r="K24" s="335">
        <f t="shared" si="2"/>
        <v>133789.32</v>
      </c>
      <c r="L24" s="322"/>
      <c r="M24" s="335">
        <f t="shared" si="3"/>
        <v>33447.33</v>
      </c>
      <c r="N24" s="335">
        <f t="shared" si="4"/>
        <v>16723.665000000005</v>
      </c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35">
        <f t="shared" si="1"/>
        <v>183960.31500000003</v>
      </c>
      <c r="Z24" s="335">
        <f t="shared" si="5"/>
        <v>2207523.7800000003</v>
      </c>
    </row>
    <row r="25" spans="1:26" s="155" customFormat="1" ht="52.5" customHeight="1">
      <c r="A25" s="322">
        <v>11</v>
      </c>
      <c r="B25" s="325" t="s">
        <v>199</v>
      </c>
      <c r="C25" s="336" t="s">
        <v>582</v>
      </c>
      <c r="D25" s="486" t="s">
        <v>490</v>
      </c>
      <c r="E25" s="338">
        <v>1</v>
      </c>
      <c r="F25" s="324" t="s">
        <v>649</v>
      </c>
      <c r="G25" s="340">
        <v>15.1</v>
      </c>
      <c r="H25" s="324">
        <v>4.28</v>
      </c>
      <c r="I25" s="334">
        <v>17697</v>
      </c>
      <c r="J25" s="322">
        <v>2</v>
      </c>
      <c r="K25" s="335">
        <f t="shared" si="2"/>
        <v>151486.32</v>
      </c>
      <c r="L25" s="322"/>
      <c r="M25" s="335">
        <f t="shared" si="3"/>
        <v>37871.58</v>
      </c>
      <c r="N25" s="335">
        <f t="shared" si="4"/>
        <v>18935.790000000005</v>
      </c>
      <c r="O25" s="322"/>
      <c r="P25" s="322"/>
      <c r="Q25" s="322"/>
      <c r="R25" s="322"/>
      <c r="S25" s="322"/>
      <c r="T25" s="322">
        <v>56807</v>
      </c>
      <c r="U25" s="322"/>
      <c r="V25" s="322"/>
      <c r="W25" s="322"/>
      <c r="X25" s="322"/>
      <c r="Y25" s="335">
        <f t="shared" si="1"/>
        <v>265100.69000000006</v>
      </c>
      <c r="Z25" s="335">
        <f t="shared" si="5"/>
        <v>3181208.2800000007</v>
      </c>
    </row>
    <row r="26" spans="1:26" s="155" customFormat="1" ht="52.5" customHeight="1">
      <c r="A26" s="322">
        <v>12</v>
      </c>
      <c r="B26" s="331" t="s">
        <v>498</v>
      </c>
      <c r="C26" s="325" t="s">
        <v>506</v>
      </c>
      <c r="D26" s="486" t="s">
        <v>490</v>
      </c>
      <c r="E26" s="338">
        <v>1</v>
      </c>
      <c r="F26" s="337" t="s">
        <v>13</v>
      </c>
      <c r="G26" s="346">
        <v>5.0999999999999996</v>
      </c>
      <c r="H26" s="324">
        <v>3.78</v>
      </c>
      <c r="I26" s="334">
        <v>17697</v>
      </c>
      <c r="J26" s="322">
        <v>2</v>
      </c>
      <c r="K26" s="335">
        <f t="shared" si="2"/>
        <v>133789.32</v>
      </c>
      <c r="L26" s="322"/>
      <c r="M26" s="335">
        <f t="shared" si="3"/>
        <v>33447.33</v>
      </c>
      <c r="N26" s="335">
        <f t="shared" si="4"/>
        <v>16723.665000000005</v>
      </c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35">
        <f t="shared" si="1"/>
        <v>183960.31500000003</v>
      </c>
      <c r="Z26" s="335">
        <f t="shared" si="5"/>
        <v>2207523.7800000003</v>
      </c>
    </row>
    <row r="27" spans="1:26" s="155" customFormat="1" ht="31.5">
      <c r="A27" s="322">
        <v>13</v>
      </c>
      <c r="B27" s="323" t="s">
        <v>616</v>
      </c>
      <c r="C27" s="336" t="s">
        <v>507</v>
      </c>
      <c r="D27" s="486" t="s">
        <v>490</v>
      </c>
      <c r="E27" s="338">
        <v>1</v>
      </c>
      <c r="F27" s="322" t="s">
        <v>13</v>
      </c>
      <c r="G27" s="322">
        <v>4.1100000000000003</v>
      </c>
      <c r="H27" s="340">
        <v>3.71</v>
      </c>
      <c r="I27" s="334">
        <v>17697</v>
      </c>
      <c r="J27" s="322">
        <v>2</v>
      </c>
      <c r="K27" s="335">
        <f t="shared" si="2"/>
        <v>131311.74</v>
      </c>
      <c r="L27" s="322"/>
      <c r="M27" s="335">
        <f t="shared" si="3"/>
        <v>32827.934999999998</v>
      </c>
      <c r="N27" s="335">
        <f t="shared" si="4"/>
        <v>16413.967499999999</v>
      </c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35">
        <f t="shared" si="1"/>
        <v>180553.64249999999</v>
      </c>
      <c r="Z27" s="335">
        <f t="shared" si="5"/>
        <v>2166643.71</v>
      </c>
    </row>
    <row r="28" spans="1:26" s="155" customFormat="1" ht="41.25" customHeight="1">
      <c r="A28" s="322">
        <v>14</v>
      </c>
      <c r="B28" s="325" t="s">
        <v>586</v>
      </c>
      <c r="C28" s="336" t="s">
        <v>624</v>
      </c>
      <c r="D28" s="486" t="s">
        <v>490</v>
      </c>
      <c r="E28" s="339">
        <v>1</v>
      </c>
      <c r="F28" s="324" t="s">
        <v>13</v>
      </c>
      <c r="G28" s="322" t="s">
        <v>625</v>
      </c>
      <c r="H28" s="324">
        <v>3.52</v>
      </c>
      <c r="I28" s="334">
        <v>17697</v>
      </c>
      <c r="J28" s="322">
        <v>2</v>
      </c>
      <c r="K28" s="335">
        <f>E28*H28*I28*J28</f>
        <v>124586.88</v>
      </c>
      <c r="L28" s="322"/>
      <c r="M28" s="335">
        <f>K28*25%</f>
        <v>31146.720000000001</v>
      </c>
      <c r="N28" s="335">
        <f>(K28+M28)*10%</f>
        <v>15573.36</v>
      </c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35">
        <f t="shared" si="1"/>
        <v>171306.96000000002</v>
      </c>
      <c r="Z28" s="335">
        <f>Y28*12</f>
        <v>2055683.5200000003</v>
      </c>
    </row>
    <row r="29" spans="1:26" s="155" customFormat="1" ht="36.75" customHeight="1">
      <c r="A29" s="322">
        <v>15</v>
      </c>
      <c r="B29" s="371" t="s">
        <v>613</v>
      </c>
      <c r="C29" s="323" t="s">
        <v>631</v>
      </c>
      <c r="D29" s="372" t="s">
        <v>490</v>
      </c>
      <c r="E29" s="486">
        <v>1</v>
      </c>
      <c r="F29" s="322" t="s">
        <v>494</v>
      </c>
      <c r="G29" s="372">
        <v>0.7</v>
      </c>
      <c r="H29" s="372">
        <v>4.0999999999999996</v>
      </c>
      <c r="I29" s="373">
        <v>17697</v>
      </c>
      <c r="J29" s="322">
        <v>2</v>
      </c>
      <c r="K29" s="374">
        <f>E29*H29*I29*J29</f>
        <v>145115.4</v>
      </c>
      <c r="L29" s="486"/>
      <c r="M29" s="335">
        <f>K29*25%</f>
        <v>36278.85</v>
      </c>
      <c r="N29" s="335">
        <f>(K29+M29)*10%</f>
        <v>18139.424999999999</v>
      </c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35">
        <f t="shared" si="1"/>
        <v>199533.67499999999</v>
      </c>
      <c r="Z29" s="335">
        <f>Y29*12</f>
        <v>2394404.0999999996</v>
      </c>
    </row>
    <row r="30" spans="1:26" s="495" customFormat="1" ht="38.25" customHeight="1">
      <c r="A30" s="477">
        <v>16</v>
      </c>
      <c r="B30" s="492" t="s">
        <v>467</v>
      </c>
      <c r="C30" s="475" t="s">
        <v>521</v>
      </c>
      <c r="D30" s="493" t="s">
        <v>490</v>
      </c>
      <c r="E30" s="462">
        <v>1</v>
      </c>
      <c r="F30" s="483" t="s">
        <v>13</v>
      </c>
      <c r="G30" s="494">
        <v>14</v>
      </c>
      <c r="H30" s="494">
        <v>4</v>
      </c>
      <c r="I30" s="459">
        <v>17697</v>
      </c>
      <c r="J30" s="477">
        <v>2.6</v>
      </c>
      <c r="K30" s="464">
        <f t="shared" si="2"/>
        <v>184048.80000000002</v>
      </c>
      <c r="L30" s="477"/>
      <c r="M30" s="464">
        <f t="shared" si="3"/>
        <v>46012.200000000004</v>
      </c>
      <c r="N30" s="464">
        <f t="shared" si="4"/>
        <v>23006.100000000006</v>
      </c>
      <c r="O30" s="477"/>
      <c r="P30" s="477"/>
      <c r="Q30" s="477"/>
      <c r="R30" s="477"/>
      <c r="S30" s="477"/>
      <c r="T30" s="477"/>
      <c r="U30" s="464"/>
      <c r="V30" s="477"/>
      <c r="W30" s="477"/>
      <c r="X30" s="477"/>
      <c r="Y30" s="612">
        <f t="shared" si="1"/>
        <v>253067.10000000003</v>
      </c>
      <c r="Z30" s="612">
        <f t="shared" si="5"/>
        <v>3036805.2</v>
      </c>
    </row>
    <row r="31" spans="1:26" s="495" customFormat="1" ht="31.5">
      <c r="A31" s="477">
        <v>17</v>
      </c>
      <c r="B31" s="492" t="s">
        <v>467</v>
      </c>
      <c r="C31" s="475" t="s">
        <v>534</v>
      </c>
      <c r="D31" s="493" t="s">
        <v>490</v>
      </c>
      <c r="E31" s="496">
        <v>1</v>
      </c>
      <c r="F31" s="483" t="s">
        <v>13</v>
      </c>
      <c r="G31" s="494">
        <v>22.11</v>
      </c>
      <c r="H31" s="494">
        <v>4.12</v>
      </c>
      <c r="I31" s="459">
        <v>17697</v>
      </c>
      <c r="J31" s="477">
        <v>2.6</v>
      </c>
      <c r="K31" s="464">
        <f t="shared" si="2"/>
        <v>189570.264</v>
      </c>
      <c r="L31" s="477"/>
      <c r="M31" s="464">
        <f t="shared" si="3"/>
        <v>47392.565999999999</v>
      </c>
      <c r="N31" s="464">
        <f t="shared" si="4"/>
        <v>23696.282999999999</v>
      </c>
      <c r="O31" s="477"/>
      <c r="P31" s="477"/>
      <c r="Q31" s="477"/>
      <c r="R31" s="477"/>
      <c r="S31" s="477"/>
      <c r="T31" s="477"/>
      <c r="U31" s="464"/>
      <c r="V31" s="464"/>
      <c r="W31" s="477"/>
      <c r="X31" s="477"/>
      <c r="Y31" s="612">
        <f t="shared" si="1"/>
        <v>260659.11299999998</v>
      </c>
      <c r="Z31" s="612">
        <f t="shared" si="5"/>
        <v>3127909.3559999997</v>
      </c>
    </row>
    <row r="32" spans="1:26" s="495" customFormat="1" ht="42.75" customHeight="1">
      <c r="A32" s="477">
        <v>18</v>
      </c>
      <c r="B32" s="497" t="s">
        <v>218</v>
      </c>
      <c r="C32" s="498" t="s">
        <v>590</v>
      </c>
      <c r="D32" s="493" t="s">
        <v>490</v>
      </c>
      <c r="E32" s="477">
        <v>1</v>
      </c>
      <c r="F32" s="477" t="s">
        <v>12</v>
      </c>
      <c r="G32" s="477">
        <v>16</v>
      </c>
      <c r="H32" s="477">
        <v>5.09</v>
      </c>
      <c r="I32" s="459">
        <v>17697</v>
      </c>
      <c r="J32" s="477">
        <v>1.71</v>
      </c>
      <c r="K32" s="464">
        <f t="shared" si="2"/>
        <v>154032.91829999999</v>
      </c>
      <c r="L32" s="477"/>
      <c r="M32" s="464">
        <f t="shared" si="3"/>
        <v>38508.229574999998</v>
      </c>
      <c r="N32" s="464">
        <f t="shared" si="4"/>
        <v>19254.114787499999</v>
      </c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64">
        <f t="shared" si="1"/>
        <v>211795.2626625</v>
      </c>
      <c r="Z32" s="464">
        <f t="shared" si="5"/>
        <v>2541543.1519499999</v>
      </c>
    </row>
    <row r="33" spans="1:30" s="495" customFormat="1" ht="31.5">
      <c r="A33" s="477">
        <v>19</v>
      </c>
      <c r="B33" s="497" t="s">
        <v>209</v>
      </c>
      <c r="C33" s="497" t="s">
        <v>591</v>
      </c>
      <c r="D33" s="493" t="s">
        <v>490</v>
      </c>
      <c r="E33" s="496">
        <v>1</v>
      </c>
      <c r="F33" s="613" t="s">
        <v>11</v>
      </c>
      <c r="G33" s="494">
        <v>16.600000000000001</v>
      </c>
      <c r="H33" s="494">
        <v>4.6100000000000003</v>
      </c>
      <c r="I33" s="459">
        <v>17697</v>
      </c>
      <c r="J33" s="477">
        <v>1.71</v>
      </c>
      <c r="K33" s="464">
        <f t="shared" si="2"/>
        <v>139507.22070000001</v>
      </c>
      <c r="L33" s="477"/>
      <c r="M33" s="464"/>
      <c r="N33" s="464">
        <f t="shared" si="4"/>
        <v>13950.722070000002</v>
      </c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614">
        <f t="shared" si="1"/>
        <v>153457.94276999999</v>
      </c>
      <c r="Z33" s="614">
        <f t="shared" si="5"/>
        <v>1841495.31324</v>
      </c>
    </row>
    <row r="34" spans="1:30" s="495" customFormat="1" ht="39.75" customHeight="1">
      <c r="A34" s="477">
        <v>20</v>
      </c>
      <c r="B34" s="497" t="s">
        <v>209</v>
      </c>
      <c r="C34" s="498" t="s">
        <v>647</v>
      </c>
      <c r="D34" s="477" t="s">
        <v>589</v>
      </c>
      <c r="E34" s="477">
        <v>1</v>
      </c>
      <c r="F34" s="613" t="s">
        <v>11</v>
      </c>
      <c r="G34" s="477">
        <v>1.8</v>
      </c>
      <c r="H34" s="499">
        <v>4.1399999999999997</v>
      </c>
      <c r="I34" s="459">
        <v>17697</v>
      </c>
      <c r="J34" s="477">
        <v>1.71</v>
      </c>
      <c r="K34" s="464">
        <f t="shared" si="2"/>
        <v>125284.14179999997</v>
      </c>
      <c r="L34" s="477"/>
      <c r="M34" s="464"/>
      <c r="N34" s="464">
        <f t="shared" si="4"/>
        <v>12528.414179999998</v>
      </c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614">
        <f t="shared" si="1"/>
        <v>137812.55597999998</v>
      </c>
      <c r="Z34" s="614">
        <f t="shared" si="5"/>
        <v>1653750.6717599998</v>
      </c>
    </row>
    <row r="35" spans="1:30" s="155" customFormat="1" ht="36.75" customHeight="1">
      <c r="A35" s="322">
        <v>21</v>
      </c>
      <c r="B35" s="336" t="s">
        <v>194</v>
      </c>
      <c r="C35" s="323" t="s">
        <v>644</v>
      </c>
      <c r="D35" s="486" t="s">
        <v>589</v>
      </c>
      <c r="E35" s="322">
        <v>1</v>
      </c>
      <c r="F35" s="322" t="s">
        <v>322</v>
      </c>
      <c r="G35" s="340">
        <v>0.1</v>
      </c>
      <c r="H35" s="341">
        <v>3.31</v>
      </c>
      <c r="I35" s="334">
        <v>17697</v>
      </c>
      <c r="J35" s="322">
        <v>1.71</v>
      </c>
      <c r="K35" s="335">
        <f t="shared" si="2"/>
        <v>100166.78969999999</v>
      </c>
      <c r="L35" s="322"/>
      <c r="M35" s="335"/>
      <c r="N35" s="335">
        <f t="shared" si="4"/>
        <v>10016.678970000001</v>
      </c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35">
        <f t="shared" si="1"/>
        <v>110183.46867</v>
      </c>
      <c r="Z35" s="335">
        <f t="shared" si="5"/>
        <v>1322201.6240400001</v>
      </c>
    </row>
    <row r="36" spans="1:30" s="155" customFormat="1" ht="31.5">
      <c r="A36" s="322">
        <v>22</v>
      </c>
      <c r="B36" s="323" t="s">
        <v>592</v>
      </c>
      <c r="C36" s="323" t="s">
        <v>594</v>
      </c>
      <c r="D36" s="486" t="s">
        <v>589</v>
      </c>
      <c r="E36" s="322">
        <v>1</v>
      </c>
      <c r="F36" s="322" t="s">
        <v>593</v>
      </c>
      <c r="G36" s="342">
        <v>14.9</v>
      </c>
      <c r="H36" s="324">
        <v>3.19</v>
      </c>
      <c r="I36" s="334">
        <v>17697</v>
      </c>
      <c r="J36" s="322">
        <v>1.71</v>
      </c>
      <c r="K36" s="335">
        <f t="shared" si="2"/>
        <v>96535.365300000005</v>
      </c>
      <c r="L36" s="322"/>
      <c r="M36" s="335"/>
      <c r="N36" s="335">
        <f t="shared" si="4"/>
        <v>9653.5365300000012</v>
      </c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35">
        <f t="shared" si="1"/>
        <v>106188.90183</v>
      </c>
      <c r="Z36" s="335">
        <f t="shared" si="5"/>
        <v>1274266.8219600001</v>
      </c>
      <c r="AD36" s="322"/>
    </row>
    <row r="37" spans="1:30" s="155" customFormat="1" ht="38.25" customHeight="1">
      <c r="A37" s="322">
        <v>23</v>
      </c>
      <c r="B37" s="343" t="s">
        <v>645</v>
      </c>
      <c r="C37" s="323" t="s">
        <v>595</v>
      </c>
      <c r="D37" s="486" t="s">
        <v>497</v>
      </c>
      <c r="E37" s="322">
        <v>1</v>
      </c>
      <c r="F37" s="322">
        <v>1</v>
      </c>
      <c r="G37" s="322">
        <v>26.15</v>
      </c>
      <c r="H37" s="322">
        <v>2.81</v>
      </c>
      <c r="I37" s="334">
        <v>17697</v>
      </c>
      <c r="J37" s="322">
        <v>1.71</v>
      </c>
      <c r="K37" s="335">
        <f t="shared" si="2"/>
        <v>85035.854699999996</v>
      </c>
      <c r="L37" s="322"/>
      <c r="M37" s="335"/>
      <c r="N37" s="335">
        <f t="shared" si="4"/>
        <v>8503.58547</v>
      </c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35">
        <f t="shared" si="1"/>
        <v>93539.440170000002</v>
      </c>
      <c r="Z37" s="335">
        <f t="shared" si="5"/>
        <v>1122473.28204</v>
      </c>
    </row>
    <row r="38" spans="1:30" s="155" customFormat="1" ht="34.5" customHeight="1">
      <c r="A38" s="322">
        <v>24</v>
      </c>
      <c r="B38" s="343" t="s">
        <v>646</v>
      </c>
      <c r="C38" s="325" t="s">
        <v>596</v>
      </c>
      <c r="D38" s="486" t="s">
        <v>497</v>
      </c>
      <c r="E38" s="337">
        <v>1.5</v>
      </c>
      <c r="F38" s="322">
        <v>3</v>
      </c>
      <c r="G38" s="322">
        <v>12.7</v>
      </c>
      <c r="H38" s="322">
        <v>2.86</v>
      </c>
      <c r="I38" s="334">
        <v>17697</v>
      </c>
      <c r="J38" s="322">
        <v>1.71</v>
      </c>
      <c r="K38" s="335">
        <f t="shared" si="2"/>
        <v>129823.42230000001</v>
      </c>
      <c r="L38" s="322"/>
      <c r="M38" s="335"/>
      <c r="N38" s="335">
        <f t="shared" si="4"/>
        <v>12982.342230000002</v>
      </c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35">
        <f t="shared" si="1"/>
        <v>142805.76453000001</v>
      </c>
      <c r="Z38" s="335">
        <f t="shared" si="5"/>
        <v>1713669.1743600001</v>
      </c>
    </row>
    <row r="39" spans="1:30" s="155" customFormat="1" ht="31.5">
      <c r="A39" s="322">
        <v>25</v>
      </c>
      <c r="B39" s="343" t="s">
        <v>468</v>
      </c>
      <c r="C39" s="344" t="s">
        <v>598</v>
      </c>
      <c r="D39" s="486" t="s">
        <v>497</v>
      </c>
      <c r="E39" s="337">
        <v>1</v>
      </c>
      <c r="F39" s="322">
        <v>1</v>
      </c>
      <c r="G39" s="322">
        <v>5</v>
      </c>
      <c r="H39" s="322">
        <v>2.81</v>
      </c>
      <c r="I39" s="334">
        <v>17697</v>
      </c>
      <c r="J39" s="322">
        <v>1.71</v>
      </c>
      <c r="K39" s="335">
        <f t="shared" si="2"/>
        <v>85035.854699999996</v>
      </c>
      <c r="L39" s="322"/>
      <c r="M39" s="335"/>
      <c r="N39" s="335">
        <f t="shared" si="4"/>
        <v>8503.58547</v>
      </c>
      <c r="O39" s="322"/>
      <c r="P39" s="322"/>
      <c r="Q39" s="322"/>
      <c r="R39" s="322">
        <v>3539</v>
      </c>
      <c r="S39" s="375"/>
      <c r="T39" s="322"/>
      <c r="U39" s="322"/>
      <c r="V39" s="322"/>
      <c r="W39" s="322"/>
      <c r="X39" s="322"/>
      <c r="Y39" s="335">
        <f t="shared" si="1"/>
        <v>97078.440170000002</v>
      </c>
      <c r="Z39" s="335">
        <f t="shared" si="5"/>
        <v>1164941.28204</v>
      </c>
    </row>
    <row r="40" spans="1:30" s="155" customFormat="1" ht="31.5">
      <c r="A40" s="322">
        <v>26</v>
      </c>
      <c r="B40" s="343" t="s">
        <v>468</v>
      </c>
      <c r="C40" s="325" t="s">
        <v>599</v>
      </c>
      <c r="D40" s="486" t="s">
        <v>497</v>
      </c>
      <c r="E40" s="337">
        <v>1</v>
      </c>
      <c r="F40" s="322">
        <v>1</v>
      </c>
      <c r="G40" s="322">
        <v>3.11</v>
      </c>
      <c r="H40" s="322">
        <v>2.81</v>
      </c>
      <c r="I40" s="334">
        <v>17697</v>
      </c>
      <c r="J40" s="322">
        <v>1.71</v>
      </c>
      <c r="K40" s="335">
        <f t="shared" si="2"/>
        <v>85035.854699999996</v>
      </c>
      <c r="L40" s="322"/>
      <c r="M40" s="335"/>
      <c r="N40" s="335">
        <f t="shared" si="4"/>
        <v>8503.58547</v>
      </c>
      <c r="O40" s="322"/>
      <c r="P40" s="322"/>
      <c r="Q40" s="322"/>
      <c r="R40" s="322">
        <v>3539</v>
      </c>
      <c r="S40" s="375"/>
      <c r="T40" s="322"/>
      <c r="U40" s="322"/>
      <c r="V40" s="322"/>
      <c r="W40" s="322"/>
      <c r="X40" s="322"/>
      <c r="Y40" s="335">
        <f t="shared" si="1"/>
        <v>97078.440170000002</v>
      </c>
      <c r="Z40" s="335">
        <f t="shared" si="5"/>
        <v>1164941.28204</v>
      </c>
    </row>
    <row r="41" spans="1:30" s="155" customFormat="1" ht="38.25" customHeight="1">
      <c r="A41" s="322">
        <v>27</v>
      </c>
      <c r="B41" s="343" t="s">
        <v>468</v>
      </c>
      <c r="C41" s="491" t="s">
        <v>600</v>
      </c>
      <c r="D41" s="486" t="s">
        <v>497</v>
      </c>
      <c r="E41" s="337">
        <v>1</v>
      </c>
      <c r="F41" s="322">
        <v>1</v>
      </c>
      <c r="G41" s="322">
        <v>6.4</v>
      </c>
      <c r="H41" s="322">
        <v>2.81</v>
      </c>
      <c r="I41" s="334">
        <v>17697</v>
      </c>
      <c r="J41" s="322">
        <v>1.71</v>
      </c>
      <c r="K41" s="335">
        <f t="shared" si="2"/>
        <v>85035.854699999996</v>
      </c>
      <c r="L41" s="322"/>
      <c r="M41" s="335"/>
      <c r="N41" s="335">
        <f t="shared" si="4"/>
        <v>8503.58547</v>
      </c>
      <c r="O41" s="322"/>
      <c r="P41" s="322"/>
      <c r="Q41" s="322"/>
      <c r="R41" s="322">
        <v>3539</v>
      </c>
      <c r="S41" s="375"/>
      <c r="T41" s="322"/>
      <c r="U41" s="322"/>
      <c r="V41" s="322"/>
      <c r="W41" s="322"/>
      <c r="X41" s="322"/>
      <c r="Y41" s="335">
        <f t="shared" si="1"/>
        <v>97078.440170000002</v>
      </c>
      <c r="Z41" s="335">
        <f t="shared" si="5"/>
        <v>1164941.28204</v>
      </c>
    </row>
    <row r="42" spans="1:30" s="155" customFormat="1" ht="31.5">
      <c r="A42" s="322">
        <v>28</v>
      </c>
      <c r="B42" s="343" t="s">
        <v>468</v>
      </c>
      <c r="C42" s="325" t="s">
        <v>601</v>
      </c>
      <c r="D42" s="486" t="s">
        <v>497</v>
      </c>
      <c r="E42" s="337">
        <v>1</v>
      </c>
      <c r="F42" s="322">
        <v>1</v>
      </c>
      <c r="G42" s="322">
        <v>3.11</v>
      </c>
      <c r="H42" s="322">
        <v>2.81</v>
      </c>
      <c r="I42" s="334">
        <v>17697</v>
      </c>
      <c r="J42" s="322">
        <v>1.71</v>
      </c>
      <c r="K42" s="335">
        <f t="shared" si="2"/>
        <v>85035.854699999996</v>
      </c>
      <c r="L42" s="322"/>
      <c r="M42" s="335"/>
      <c r="N42" s="335">
        <f t="shared" si="4"/>
        <v>8503.58547</v>
      </c>
      <c r="O42" s="322"/>
      <c r="P42" s="322"/>
      <c r="Q42" s="322"/>
      <c r="R42" s="322">
        <v>3539</v>
      </c>
      <c r="S42" s="375"/>
      <c r="T42" s="322"/>
      <c r="U42" s="322"/>
      <c r="V42" s="322"/>
      <c r="W42" s="322"/>
      <c r="X42" s="322"/>
      <c r="Y42" s="335">
        <f t="shared" si="1"/>
        <v>97078.440170000002</v>
      </c>
      <c r="Z42" s="335">
        <f t="shared" si="5"/>
        <v>1164941.28204</v>
      </c>
    </row>
    <row r="43" spans="1:30" s="155" customFormat="1" ht="31.5">
      <c r="A43" s="322">
        <v>29</v>
      </c>
      <c r="B43" s="343" t="s">
        <v>468</v>
      </c>
      <c r="C43" s="325" t="s">
        <v>602</v>
      </c>
      <c r="D43" s="486" t="s">
        <v>497</v>
      </c>
      <c r="E43" s="337">
        <v>1</v>
      </c>
      <c r="F43" s="322">
        <v>1</v>
      </c>
      <c r="G43" s="322">
        <v>4</v>
      </c>
      <c r="H43" s="322">
        <v>2.81</v>
      </c>
      <c r="I43" s="334">
        <v>17697</v>
      </c>
      <c r="J43" s="322">
        <v>1.71</v>
      </c>
      <c r="K43" s="335">
        <f t="shared" si="2"/>
        <v>85035.854699999996</v>
      </c>
      <c r="L43" s="322"/>
      <c r="M43" s="335"/>
      <c r="N43" s="335">
        <f t="shared" si="4"/>
        <v>8503.58547</v>
      </c>
      <c r="O43" s="322"/>
      <c r="P43" s="322"/>
      <c r="Q43" s="322"/>
      <c r="R43" s="322">
        <v>3539</v>
      </c>
      <c r="S43" s="375"/>
      <c r="T43" s="322"/>
      <c r="U43" s="322"/>
      <c r="V43" s="322"/>
      <c r="W43" s="322"/>
      <c r="X43" s="322"/>
      <c r="Y43" s="335">
        <f t="shared" si="1"/>
        <v>97078.440170000002</v>
      </c>
      <c r="Z43" s="335">
        <f t="shared" si="5"/>
        <v>1164941.28204</v>
      </c>
    </row>
    <row r="44" spans="1:30" s="155" customFormat="1" ht="31.5">
      <c r="A44" s="322">
        <v>30</v>
      </c>
      <c r="B44" s="343" t="s">
        <v>468</v>
      </c>
      <c r="C44" s="325" t="s">
        <v>603</v>
      </c>
      <c r="D44" s="486" t="s">
        <v>497</v>
      </c>
      <c r="E44" s="337">
        <v>1</v>
      </c>
      <c r="F44" s="322">
        <v>1</v>
      </c>
      <c r="G44" s="322">
        <v>3.11</v>
      </c>
      <c r="H44" s="322">
        <v>2.81</v>
      </c>
      <c r="I44" s="334">
        <v>17697</v>
      </c>
      <c r="J44" s="322">
        <v>1.71</v>
      </c>
      <c r="K44" s="335">
        <f t="shared" si="2"/>
        <v>85035.854699999996</v>
      </c>
      <c r="L44" s="322"/>
      <c r="M44" s="335"/>
      <c r="N44" s="335">
        <f t="shared" si="4"/>
        <v>8503.58547</v>
      </c>
      <c r="O44" s="322"/>
      <c r="P44" s="322">
        <v>5309</v>
      </c>
      <c r="Q44" s="322"/>
      <c r="R44" s="322">
        <v>3539</v>
      </c>
      <c r="S44" s="375"/>
      <c r="T44" s="322"/>
      <c r="U44" s="322"/>
      <c r="V44" s="322"/>
      <c r="W44" s="322"/>
      <c r="X44" s="322"/>
      <c r="Y44" s="335">
        <f t="shared" si="1"/>
        <v>102387.44017</v>
      </c>
      <c r="Z44" s="335">
        <f t="shared" si="5"/>
        <v>1228649.28204</v>
      </c>
    </row>
    <row r="45" spans="1:30" s="155" customFormat="1" ht="31.5">
      <c r="A45" s="322">
        <v>31</v>
      </c>
      <c r="B45" s="343" t="s">
        <v>468</v>
      </c>
      <c r="C45" s="325" t="s">
        <v>604</v>
      </c>
      <c r="D45" s="486" t="s">
        <v>497</v>
      </c>
      <c r="E45" s="337">
        <v>1</v>
      </c>
      <c r="F45" s="322">
        <v>1</v>
      </c>
      <c r="G45" s="322">
        <v>3.11</v>
      </c>
      <c r="H45" s="322">
        <v>2.81</v>
      </c>
      <c r="I45" s="334">
        <v>17697</v>
      </c>
      <c r="J45" s="322">
        <v>1.71</v>
      </c>
      <c r="K45" s="335">
        <f t="shared" si="2"/>
        <v>85035.854699999996</v>
      </c>
      <c r="L45" s="322"/>
      <c r="M45" s="335"/>
      <c r="N45" s="335">
        <f t="shared" si="4"/>
        <v>8503.58547</v>
      </c>
      <c r="O45" s="322"/>
      <c r="P45" s="322"/>
      <c r="Q45" s="322"/>
      <c r="R45" s="322">
        <v>3539</v>
      </c>
      <c r="S45" s="375"/>
      <c r="T45" s="322"/>
      <c r="U45" s="322"/>
      <c r="V45" s="322"/>
      <c r="W45" s="322"/>
      <c r="X45" s="322"/>
      <c r="Y45" s="335">
        <f t="shared" si="1"/>
        <v>97078.440170000002</v>
      </c>
      <c r="Z45" s="335">
        <f t="shared" si="5"/>
        <v>1164941.28204</v>
      </c>
    </row>
    <row r="46" spans="1:30" s="155" customFormat="1" ht="35.25" customHeight="1">
      <c r="A46" s="322">
        <v>32</v>
      </c>
      <c r="B46" s="343" t="s">
        <v>468</v>
      </c>
      <c r="C46" s="323" t="s">
        <v>605</v>
      </c>
      <c r="D46" s="486" t="s">
        <v>497</v>
      </c>
      <c r="E46" s="337">
        <v>1</v>
      </c>
      <c r="F46" s="322">
        <v>1</v>
      </c>
      <c r="G46" s="322">
        <v>14.9</v>
      </c>
      <c r="H46" s="322">
        <v>2.81</v>
      </c>
      <c r="I46" s="334">
        <v>17697</v>
      </c>
      <c r="J46" s="322">
        <v>1.71</v>
      </c>
      <c r="K46" s="335">
        <f t="shared" si="2"/>
        <v>85035.854699999996</v>
      </c>
      <c r="L46" s="322"/>
      <c r="M46" s="335"/>
      <c r="N46" s="335">
        <f t="shared" si="4"/>
        <v>8503.58547</v>
      </c>
      <c r="O46" s="322"/>
      <c r="P46" s="322">
        <v>5309</v>
      </c>
      <c r="Q46" s="322"/>
      <c r="R46" s="322">
        <v>3539</v>
      </c>
      <c r="S46" s="375"/>
      <c r="T46" s="322"/>
      <c r="U46" s="322"/>
      <c r="V46" s="322"/>
      <c r="W46" s="322"/>
      <c r="X46" s="322"/>
      <c r="Y46" s="335">
        <f t="shared" si="1"/>
        <v>102387.44017</v>
      </c>
      <c r="Z46" s="335">
        <f t="shared" si="5"/>
        <v>1228649.28204</v>
      </c>
    </row>
    <row r="47" spans="1:30" s="155" customFormat="1" ht="52.5" customHeight="1">
      <c r="A47" s="322">
        <v>33</v>
      </c>
      <c r="B47" s="343" t="s">
        <v>468</v>
      </c>
      <c r="C47" s="325" t="s">
        <v>606</v>
      </c>
      <c r="D47" s="486" t="s">
        <v>497</v>
      </c>
      <c r="E47" s="337">
        <v>1</v>
      </c>
      <c r="F47" s="322">
        <v>1</v>
      </c>
      <c r="G47" s="322">
        <v>8.8000000000000007</v>
      </c>
      <c r="H47" s="322">
        <v>2.81</v>
      </c>
      <c r="I47" s="334">
        <v>17697</v>
      </c>
      <c r="J47" s="322">
        <v>1.71</v>
      </c>
      <c r="K47" s="335">
        <f t="shared" si="2"/>
        <v>85035.854699999996</v>
      </c>
      <c r="L47" s="322"/>
      <c r="M47" s="335"/>
      <c r="N47" s="335">
        <f t="shared" si="4"/>
        <v>8503.58547</v>
      </c>
      <c r="O47" s="322"/>
      <c r="P47" s="322">
        <v>5309</v>
      </c>
      <c r="Q47" s="322"/>
      <c r="R47" s="322">
        <v>3539</v>
      </c>
      <c r="S47" s="375"/>
      <c r="T47" s="322"/>
      <c r="U47" s="322"/>
      <c r="V47" s="322"/>
      <c r="W47" s="322"/>
      <c r="X47" s="322"/>
      <c r="Y47" s="335">
        <f t="shared" si="1"/>
        <v>102387.44017</v>
      </c>
      <c r="Z47" s="335">
        <f t="shared" si="5"/>
        <v>1228649.28204</v>
      </c>
    </row>
    <row r="48" spans="1:30" s="155" customFormat="1" ht="31.5">
      <c r="A48" s="322">
        <v>34</v>
      </c>
      <c r="B48" s="343" t="s">
        <v>468</v>
      </c>
      <c r="C48" s="491" t="s">
        <v>607</v>
      </c>
      <c r="D48" s="486" t="s">
        <v>497</v>
      </c>
      <c r="E48" s="337">
        <v>1</v>
      </c>
      <c r="F48" s="322">
        <v>1</v>
      </c>
      <c r="G48" s="322">
        <v>1.1100000000000001</v>
      </c>
      <c r="H48" s="322">
        <v>2.81</v>
      </c>
      <c r="I48" s="334">
        <v>17697</v>
      </c>
      <c r="J48" s="322">
        <v>1.71</v>
      </c>
      <c r="K48" s="335">
        <f t="shared" si="2"/>
        <v>85035.854699999996</v>
      </c>
      <c r="L48" s="322"/>
      <c r="M48" s="335"/>
      <c r="N48" s="335">
        <f t="shared" si="4"/>
        <v>8503.58547</v>
      </c>
      <c r="O48" s="322"/>
      <c r="P48" s="322"/>
      <c r="Q48" s="322"/>
      <c r="R48" s="322">
        <v>3539</v>
      </c>
      <c r="S48" s="375"/>
      <c r="T48" s="322"/>
      <c r="U48" s="322"/>
      <c r="V48" s="322"/>
      <c r="W48" s="322"/>
      <c r="X48" s="322"/>
      <c r="Y48" s="335">
        <f t="shared" si="1"/>
        <v>97078.440170000002</v>
      </c>
      <c r="Z48" s="335">
        <f t="shared" si="5"/>
        <v>1164941.28204</v>
      </c>
    </row>
    <row r="49" spans="1:39" s="155" customFormat="1" ht="31.5">
      <c r="A49" s="322">
        <v>35</v>
      </c>
      <c r="B49" s="343" t="s">
        <v>468</v>
      </c>
      <c r="C49" s="325" t="s">
        <v>608</v>
      </c>
      <c r="D49" s="486" t="s">
        <v>497</v>
      </c>
      <c r="E49" s="337">
        <v>1</v>
      </c>
      <c r="F49" s="322">
        <v>1</v>
      </c>
      <c r="G49" s="322">
        <v>6.7</v>
      </c>
      <c r="H49" s="322">
        <v>2.81</v>
      </c>
      <c r="I49" s="334">
        <v>17697</v>
      </c>
      <c r="J49" s="322">
        <v>1.71</v>
      </c>
      <c r="K49" s="335">
        <f t="shared" si="2"/>
        <v>85035.854699999996</v>
      </c>
      <c r="L49" s="322"/>
      <c r="M49" s="335"/>
      <c r="N49" s="335">
        <f t="shared" si="4"/>
        <v>8503.58547</v>
      </c>
      <c r="O49" s="322"/>
      <c r="P49" s="322"/>
      <c r="Q49" s="322"/>
      <c r="R49" s="322">
        <v>3539</v>
      </c>
      <c r="S49" s="375"/>
      <c r="T49" s="322"/>
      <c r="U49" s="322"/>
      <c r="V49" s="322"/>
      <c r="W49" s="322"/>
      <c r="X49" s="322"/>
      <c r="Y49" s="335">
        <f t="shared" si="1"/>
        <v>97078.440170000002</v>
      </c>
      <c r="Z49" s="335">
        <f t="shared" si="5"/>
        <v>1164941.28204</v>
      </c>
    </row>
    <row r="50" spans="1:39" s="155" customFormat="1" ht="33.75" customHeight="1">
      <c r="A50" s="322">
        <v>36</v>
      </c>
      <c r="B50" s="343" t="s">
        <v>468</v>
      </c>
      <c r="C50" s="323" t="s">
        <v>609</v>
      </c>
      <c r="D50" s="486" t="s">
        <v>497</v>
      </c>
      <c r="E50" s="337">
        <v>1</v>
      </c>
      <c r="F50" s="322">
        <v>1</v>
      </c>
      <c r="G50" s="322">
        <v>1.5</v>
      </c>
      <c r="H50" s="322">
        <v>2.81</v>
      </c>
      <c r="I50" s="334">
        <v>17697</v>
      </c>
      <c r="J50" s="322">
        <v>1.71</v>
      </c>
      <c r="K50" s="335">
        <f t="shared" si="2"/>
        <v>85035.854699999996</v>
      </c>
      <c r="L50" s="322"/>
      <c r="M50" s="335"/>
      <c r="N50" s="335">
        <f t="shared" si="4"/>
        <v>8503.58547</v>
      </c>
      <c r="O50" s="322"/>
      <c r="P50" s="322"/>
      <c r="Q50" s="322"/>
      <c r="R50" s="322">
        <v>3539</v>
      </c>
      <c r="S50" s="375"/>
      <c r="T50" s="322"/>
      <c r="U50" s="322"/>
      <c r="V50" s="322"/>
      <c r="W50" s="322"/>
      <c r="X50" s="322"/>
      <c r="Y50" s="335">
        <f t="shared" si="1"/>
        <v>97078.440170000002</v>
      </c>
      <c r="Z50" s="335">
        <f t="shared" si="5"/>
        <v>1164941.28204</v>
      </c>
    </row>
    <row r="51" spans="1:39" s="155" customFormat="1" ht="34.5" customHeight="1">
      <c r="A51" s="322">
        <v>37</v>
      </c>
      <c r="B51" s="323" t="s">
        <v>301</v>
      </c>
      <c r="C51" s="325" t="s">
        <v>610</v>
      </c>
      <c r="D51" s="486" t="s">
        <v>497</v>
      </c>
      <c r="E51" s="337">
        <v>1</v>
      </c>
      <c r="F51" s="322">
        <v>1</v>
      </c>
      <c r="G51" s="322">
        <v>6.9</v>
      </c>
      <c r="H51" s="322">
        <v>2.81</v>
      </c>
      <c r="I51" s="334">
        <v>17697</v>
      </c>
      <c r="J51" s="322">
        <v>1.71</v>
      </c>
      <c r="K51" s="335">
        <f t="shared" si="2"/>
        <v>85035.854699999996</v>
      </c>
      <c r="L51" s="322"/>
      <c r="M51" s="335"/>
      <c r="N51" s="335">
        <f t="shared" si="4"/>
        <v>8503.58547</v>
      </c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35">
        <f t="shared" si="1"/>
        <v>93539.440170000002</v>
      </c>
      <c r="Z51" s="335">
        <f t="shared" si="5"/>
        <v>1122473.28204</v>
      </c>
    </row>
    <row r="52" spans="1:39" s="155" customFormat="1" ht="31.5">
      <c r="A52" s="322">
        <v>38</v>
      </c>
      <c r="B52" s="325" t="s">
        <v>496</v>
      </c>
      <c r="C52" s="325" t="s">
        <v>611</v>
      </c>
      <c r="D52" s="486" t="s">
        <v>497</v>
      </c>
      <c r="E52" s="322">
        <v>1</v>
      </c>
      <c r="F52" s="322">
        <v>1</v>
      </c>
      <c r="G52" s="322">
        <v>24.6</v>
      </c>
      <c r="H52" s="322">
        <v>2.81</v>
      </c>
      <c r="I52" s="334">
        <v>17697</v>
      </c>
      <c r="J52" s="322">
        <v>1.71</v>
      </c>
      <c r="K52" s="335">
        <f t="shared" si="2"/>
        <v>85035.854699999996</v>
      </c>
      <c r="L52" s="322"/>
      <c r="M52" s="335"/>
      <c r="N52" s="335">
        <f t="shared" si="4"/>
        <v>8503.58547</v>
      </c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35">
        <f t="shared" si="1"/>
        <v>93539.440170000002</v>
      </c>
      <c r="Z52" s="335">
        <f t="shared" si="5"/>
        <v>1122473.28204</v>
      </c>
    </row>
    <row r="53" spans="1:39" s="155" customFormat="1" ht="47.25">
      <c r="A53" s="322">
        <v>39</v>
      </c>
      <c r="B53" s="325" t="s">
        <v>496</v>
      </c>
      <c r="C53" s="325" t="s">
        <v>612</v>
      </c>
      <c r="D53" s="486" t="s">
        <v>497</v>
      </c>
      <c r="E53" s="322">
        <v>1</v>
      </c>
      <c r="F53" s="322">
        <v>1</v>
      </c>
      <c r="G53" s="322">
        <v>9.6999999999999993</v>
      </c>
      <c r="H53" s="322">
        <v>2.81</v>
      </c>
      <c r="I53" s="334">
        <v>17697</v>
      </c>
      <c r="J53" s="322">
        <v>1.71</v>
      </c>
      <c r="K53" s="335">
        <f t="shared" si="2"/>
        <v>85035.854699999996</v>
      </c>
      <c r="L53" s="322"/>
      <c r="M53" s="335"/>
      <c r="N53" s="335">
        <f t="shared" si="4"/>
        <v>8503.58547</v>
      </c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35">
        <f t="shared" si="1"/>
        <v>93539.440170000002</v>
      </c>
      <c r="Z53" s="335">
        <f t="shared" si="5"/>
        <v>1122473.28204</v>
      </c>
    </row>
    <row r="54" spans="1:39" s="155" customFormat="1" ht="25.5" customHeight="1">
      <c r="A54" s="322">
        <v>40</v>
      </c>
      <c r="B54" s="376" t="s">
        <v>220</v>
      </c>
      <c r="C54" s="491" t="s">
        <v>495</v>
      </c>
      <c r="D54" s="486" t="s">
        <v>490</v>
      </c>
      <c r="E54" s="486">
        <v>1</v>
      </c>
      <c r="F54" s="486" t="s">
        <v>11</v>
      </c>
      <c r="G54" s="486">
        <v>25</v>
      </c>
      <c r="H54" s="377">
        <v>4.83</v>
      </c>
      <c r="I54" s="373">
        <v>17697</v>
      </c>
      <c r="J54" s="322">
        <v>1.71</v>
      </c>
      <c r="K54" s="374">
        <f t="shared" si="2"/>
        <v>146164.8321</v>
      </c>
      <c r="L54" s="486"/>
      <c r="M54" s="335">
        <f>K54*25%</f>
        <v>36541.208025</v>
      </c>
      <c r="N54" s="335">
        <f t="shared" si="4"/>
        <v>18270.6040125</v>
      </c>
      <c r="O54" s="486"/>
      <c r="P54" s="486">
        <v>5309</v>
      </c>
      <c r="Q54" s="486"/>
      <c r="R54" s="486"/>
      <c r="S54" s="486"/>
      <c r="T54" s="486"/>
      <c r="U54" s="486"/>
      <c r="V54" s="486"/>
      <c r="W54" s="486"/>
      <c r="X54" s="486"/>
      <c r="Y54" s="335">
        <f t="shared" si="1"/>
        <v>206285.6441375</v>
      </c>
      <c r="Z54" s="335">
        <f t="shared" si="5"/>
        <v>2475427.7296500001</v>
      </c>
    </row>
    <row r="55" spans="1:39" s="108" customFormat="1" ht="36.75" customHeight="1">
      <c r="A55" s="322">
        <v>41</v>
      </c>
      <c r="B55" s="343" t="s">
        <v>615</v>
      </c>
      <c r="C55" s="343" t="s">
        <v>671</v>
      </c>
      <c r="D55" s="322" t="s">
        <v>497</v>
      </c>
      <c r="E55" s="322">
        <v>0.5</v>
      </c>
      <c r="F55" s="322">
        <v>3</v>
      </c>
      <c r="G55" s="322">
        <v>10</v>
      </c>
      <c r="H55" s="322">
        <v>2.86</v>
      </c>
      <c r="I55" s="334">
        <v>17697</v>
      </c>
      <c r="J55" s="322">
        <v>1.71</v>
      </c>
      <c r="K55" s="335">
        <f t="shared" si="2"/>
        <v>43274.474099999999</v>
      </c>
      <c r="L55" s="322"/>
      <c r="M55" s="335"/>
      <c r="N55" s="335">
        <f t="shared" si="4"/>
        <v>4327.4474099999998</v>
      </c>
      <c r="O55" s="322"/>
      <c r="P55" s="322"/>
      <c r="Q55" s="322"/>
      <c r="R55" s="322"/>
      <c r="S55" s="322">
        <v>10268</v>
      </c>
      <c r="T55" s="322"/>
      <c r="U55" s="322"/>
      <c r="V55" s="322"/>
      <c r="W55" s="322"/>
      <c r="X55" s="322"/>
      <c r="Y55" s="335">
        <f t="shared" si="1"/>
        <v>57869.92151</v>
      </c>
      <c r="Z55" s="335">
        <f t="shared" si="5"/>
        <v>694439.05811999994</v>
      </c>
    </row>
    <row r="56" spans="1:39" s="108" customFormat="1" ht="36.75" customHeight="1">
      <c r="A56" s="322">
        <v>42</v>
      </c>
      <c r="B56" s="343" t="s">
        <v>615</v>
      </c>
      <c r="C56" s="343" t="s">
        <v>672</v>
      </c>
      <c r="D56" s="322" t="s">
        <v>497</v>
      </c>
      <c r="E56" s="322">
        <v>0.5</v>
      </c>
      <c r="F56" s="322">
        <v>3</v>
      </c>
      <c r="G56" s="322">
        <v>10</v>
      </c>
      <c r="H56" s="322">
        <v>2.86</v>
      </c>
      <c r="I56" s="334">
        <v>17697</v>
      </c>
      <c r="J56" s="322">
        <v>1.71</v>
      </c>
      <c r="K56" s="335">
        <f t="shared" si="2"/>
        <v>43274.474099999999</v>
      </c>
      <c r="L56" s="322"/>
      <c r="M56" s="335"/>
      <c r="N56" s="335">
        <f t="shared" si="4"/>
        <v>4327.4474099999998</v>
      </c>
      <c r="O56" s="322"/>
      <c r="P56" s="322"/>
      <c r="Q56" s="322"/>
      <c r="R56" s="322"/>
      <c r="S56" s="322">
        <v>10268</v>
      </c>
      <c r="T56" s="322"/>
      <c r="U56" s="322"/>
      <c r="V56" s="322"/>
      <c r="W56" s="322"/>
      <c r="X56" s="322"/>
      <c r="Y56" s="335">
        <f t="shared" ref="Y56:Y58" si="6">SUM(K56:X56)</f>
        <v>57869.92151</v>
      </c>
      <c r="Z56" s="335">
        <f t="shared" si="5"/>
        <v>694439.05811999994</v>
      </c>
    </row>
    <row r="57" spans="1:39" s="108" customFormat="1" ht="36.75" customHeight="1">
      <c r="A57" s="322">
        <v>43</v>
      </c>
      <c r="B57" s="343" t="s">
        <v>615</v>
      </c>
      <c r="C57" s="343" t="s">
        <v>673</v>
      </c>
      <c r="D57" s="322" t="s">
        <v>497</v>
      </c>
      <c r="E57" s="322">
        <v>0.5</v>
      </c>
      <c r="F57" s="322">
        <v>3</v>
      </c>
      <c r="G57" s="322">
        <v>10</v>
      </c>
      <c r="H57" s="322">
        <v>2.86</v>
      </c>
      <c r="I57" s="334">
        <v>17697</v>
      </c>
      <c r="J57" s="322">
        <v>1.71</v>
      </c>
      <c r="K57" s="335">
        <f t="shared" si="2"/>
        <v>43274.474099999999</v>
      </c>
      <c r="L57" s="322"/>
      <c r="M57" s="335"/>
      <c r="N57" s="335">
        <f t="shared" si="4"/>
        <v>4327.4474099999998</v>
      </c>
      <c r="O57" s="322"/>
      <c r="P57" s="322"/>
      <c r="Q57" s="322"/>
      <c r="R57" s="322"/>
      <c r="S57" s="322">
        <v>10268</v>
      </c>
      <c r="T57" s="322"/>
      <c r="U57" s="322"/>
      <c r="V57" s="322"/>
      <c r="W57" s="322"/>
      <c r="X57" s="322"/>
      <c r="Y57" s="335">
        <f t="shared" si="6"/>
        <v>57869.92151</v>
      </c>
      <c r="Z57" s="335">
        <f t="shared" si="5"/>
        <v>694439.05811999994</v>
      </c>
    </row>
    <row r="58" spans="1:39" s="108" customFormat="1" ht="50.25" customHeight="1">
      <c r="A58" s="322">
        <v>44</v>
      </c>
      <c r="B58" s="343" t="s">
        <v>615</v>
      </c>
      <c r="C58" s="343" t="s">
        <v>674</v>
      </c>
      <c r="D58" s="322" t="s">
        <v>497</v>
      </c>
      <c r="E58" s="322">
        <v>0.5</v>
      </c>
      <c r="F58" s="322">
        <v>3</v>
      </c>
      <c r="G58" s="322">
        <v>10</v>
      </c>
      <c r="H58" s="322">
        <v>2.86</v>
      </c>
      <c r="I58" s="334">
        <v>17697</v>
      </c>
      <c r="J58" s="322">
        <v>1.71</v>
      </c>
      <c r="K58" s="335">
        <f t="shared" si="2"/>
        <v>43274.474099999999</v>
      </c>
      <c r="L58" s="322"/>
      <c r="M58" s="335"/>
      <c r="N58" s="335">
        <f t="shared" si="4"/>
        <v>4327.4474099999998</v>
      </c>
      <c r="O58" s="322"/>
      <c r="P58" s="322"/>
      <c r="Q58" s="322"/>
      <c r="R58" s="322"/>
      <c r="S58" s="322">
        <v>10268</v>
      </c>
      <c r="T58" s="322"/>
      <c r="U58" s="322"/>
      <c r="V58" s="322"/>
      <c r="W58" s="322"/>
      <c r="X58" s="322"/>
      <c r="Y58" s="335">
        <f t="shared" si="6"/>
        <v>57869.92151</v>
      </c>
      <c r="Z58" s="335">
        <f t="shared" si="5"/>
        <v>694439.05811999994</v>
      </c>
    </row>
    <row r="59" spans="1:39" ht="16.5" customHeight="1">
      <c r="A59" s="347"/>
      <c r="B59" s="410"/>
      <c r="C59" s="411"/>
      <c r="D59" s="347"/>
      <c r="E59" s="347"/>
      <c r="F59" s="347"/>
      <c r="G59" s="412"/>
      <c r="H59" s="347"/>
      <c r="I59" s="408"/>
      <c r="J59" s="347"/>
      <c r="K59" s="409"/>
      <c r="L59" s="413"/>
      <c r="M59" s="413"/>
      <c r="N59" s="409"/>
      <c r="O59" s="413"/>
      <c r="P59" s="413"/>
      <c r="Q59" s="413"/>
      <c r="R59" s="413"/>
      <c r="S59" s="347"/>
      <c r="T59" s="413"/>
      <c r="U59" s="413"/>
      <c r="V59" s="413"/>
      <c r="W59" s="413"/>
      <c r="X59" s="413"/>
      <c r="Y59" s="409"/>
      <c r="Z59" s="409"/>
    </row>
    <row r="60" spans="1:39" ht="21" customHeight="1">
      <c r="B60" s="352" t="s">
        <v>622</v>
      </c>
      <c r="C60" s="243"/>
      <c r="D60" s="243"/>
      <c r="E60" s="182"/>
      <c r="F60" s="190"/>
      <c r="G60" s="275"/>
      <c r="H60" s="275"/>
      <c r="I60" s="278"/>
      <c r="J60" s="278"/>
    </row>
    <row r="61" spans="1:39" s="306" customFormat="1" ht="2.25" customHeight="1">
      <c r="A61" s="303"/>
      <c r="B61" s="274"/>
      <c r="C61" s="243"/>
      <c r="D61" s="355"/>
      <c r="E61" s="182"/>
      <c r="F61" s="190"/>
      <c r="G61" s="275"/>
      <c r="H61" s="275"/>
      <c r="I61" s="278"/>
      <c r="J61" s="278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</row>
    <row r="62" spans="1:39" s="306" customFormat="1" ht="21.75" customHeight="1">
      <c r="A62" s="303"/>
      <c r="B62" s="352" t="s">
        <v>670</v>
      </c>
      <c r="C62" s="243"/>
      <c r="D62" s="243"/>
      <c r="E62" s="182"/>
      <c r="F62" s="190"/>
      <c r="G62" s="275"/>
      <c r="H62" s="275"/>
      <c r="I62" s="278"/>
      <c r="J62" s="278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</row>
    <row r="63" spans="1:39" s="306" customFormat="1" ht="3.75" customHeight="1">
      <c r="A63" s="303"/>
      <c r="B63" s="273"/>
      <c r="C63" s="243"/>
      <c r="D63" s="243"/>
      <c r="E63" s="20"/>
      <c r="F63" s="42"/>
      <c r="G63" s="246"/>
      <c r="H63" s="246"/>
      <c r="I63" s="278"/>
      <c r="J63" s="278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</row>
    <row r="64" spans="1:39" s="306" customFormat="1" ht="20.25">
      <c r="A64" s="303"/>
      <c r="B64" s="352" t="s">
        <v>669</v>
      </c>
      <c r="C64" s="243"/>
      <c r="D64" s="243"/>
      <c r="E64" s="20"/>
      <c r="F64" s="42"/>
      <c r="G64" s="246"/>
      <c r="H64" s="246"/>
      <c r="I64" s="245"/>
      <c r="J64" s="245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</row>
    <row r="65" spans="2:10" ht="5.25" customHeight="1">
      <c r="B65" s="245"/>
      <c r="C65" s="243"/>
      <c r="D65" s="243"/>
      <c r="E65" s="20"/>
      <c r="F65" s="42"/>
      <c r="G65" s="246"/>
      <c r="H65" s="246"/>
      <c r="I65" s="245"/>
      <c r="J65" s="245"/>
    </row>
    <row r="66" spans="2:10" ht="20.25">
      <c r="B66" s="352" t="s">
        <v>640</v>
      </c>
      <c r="C66" s="244"/>
      <c r="D66" s="2"/>
      <c r="E66" s="48"/>
      <c r="F66" s="41"/>
      <c r="G66" s="244"/>
      <c r="H66" s="244"/>
      <c r="I66" s="245"/>
      <c r="J66" s="245"/>
    </row>
  </sheetData>
  <mergeCells count="21">
    <mergeCell ref="A9:Z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Y11:Y12"/>
    <mergeCell ref="Z11:Z12"/>
    <mergeCell ref="L11:L12"/>
    <mergeCell ref="M11:M12"/>
    <mergeCell ref="N11:S11"/>
    <mergeCell ref="T11:X11"/>
    <mergeCell ref="A19:A20"/>
    <mergeCell ref="C19:C20"/>
    <mergeCell ref="D19:D20"/>
    <mergeCell ref="J11:J12"/>
    <mergeCell ref="K11:K12"/>
  </mergeCells>
  <printOptions horizontalCentered="1"/>
  <pageMargins left="0" right="0" top="0.31496062992125984" bottom="0.27559055118110237" header="0" footer="0"/>
  <pageSetup paperSize="9" scale="40" orientation="landscape" r:id="rId1"/>
  <rowBreaks count="1" manualBreakCount="1">
    <brk id="34" max="25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21</vt:i4>
      </vt:variant>
    </vt:vector>
  </HeadingPairs>
  <TitlesOfParts>
    <vt:vector size="32" baseType="lpstr">
      <vt:lpstr>свод штат</vt:lpstr>
      <vt:lpstr>ШТАТ АУП 2022</vt:lpstr>
      <vt:lpstr>тариф мугалим</vt:lpstr>
      <vt:lpstr>АДМ 1 сен</vt:lpstr>
      <vt:lpstr>МҰҒАЛІМ 1 сен</vt:lpstr>
      <vt:lpstr>АДМ 2 окт (қайта)</vt:lpstr>
      <vt:lpstr>МҰҒАЛІМ 5 янв</vt:lpstr>
      <vt:lpstr>АДМ 5 янв</vt:lpstr>
      <vt:lpstr>АДМ 15 фев (қайта)</vt:lpstr>
      <vt:lpstr>МҰҒАЛІМ 1 март (қайта)</vt:lpstr>
      <vt:lpstr>АДМ (қарауыл)14март(қайта)</vt:lpstr>
      <vt:lpstr>'АДМ (қарауыл)14март(қайта)'!Заголовки_для_печати</vt:lpstr>
      <vt:lpstr>'АДМ 1 сен'!Заголовки_для_печати</vt:lpstr>
      <vt:lpstr>'АДМ 15 фев (қайта)'!Заголовки_для_печати</vt:lpstr>
      <vt:lpstr>'АДМ 2 окт (қайта)'!Заголовки_для_печати</vt:lpstr>
      <vt:lpstr>'АДМ 5 янв'!Заголовки_для_печати</vt:lpstr>
      <vt:lpstr>'МҰҒАЛІМ 1 март (қайта)'!Заголовки_для_печати</vt:lpstr>
      <vt:lpstr>'МҰҒАЛІМ 1 сен'!Заголовки_для_печати</vt:lpstr>
      <vt:lpstr>'МҰҒАЛІМ 5 янв'!Заголовки_для_печати</vt:lpstr>
      <vt:lpstr>'свод штат'!Заголовки_для_печати</vt:lpstr>
      <vt:lpstr>'тариф мугалим'!Заголовки_для_печати</vt:lpstr>
      <vt:lpstr>'ШТАТ АУП 2022'!Заголовки_для_печати</vt:lpstr>
      <vt:lpstr>'АДМ (қарауыл)14март(қайта)'!Область_печати</vt:lpstr>
      <vt:lpstr>'АДМ 1 сен'!Область_печати</vt:lpstr>
      <vt:lpstr>'АДМ 15 фев (қайта)'!Область_печати</vt:lpstr>
      <vt:lpstr>'АДМ 2 окт (қайта)'!Область_печати</vt:lpstr>
      <vt:lpstr>'АДМ 5 янв'!Область_печати</vt:lpstr>
      <vt:lpstr>'МҰҒАЛІМ 1 март (қайта)'!Область_печати</vt:lpstr>
      <vt:lpstr>'МҰҒАЛІМ 1 сен'!Область_печати</vt:lpstr>
      <vt:lpstr>'МҰҒАЛІМ 5 янв'!Область_печати</vt:lpstr>
      <vt:lpstr>'тариф мугалим'!Область_печати</vt:lpstr>
      <vt:lpstr>'ШТАТ АУП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001</cp:lastModifiedBy>
  <cp:lastPrinted>2024-03-18T07:40:41Z</cp:lastPrinted>
  <dcterms:created xsi:type="dcterms:W3CDTF">1996-10-08T23:32:33Z</dcterms:created>
  <dcterms:modified xsi:type="dcterms:W3CDTF">2024-04-03T05:56:21Z</dcterms:modified>
</cp:coreProperties>
</file>